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80" windowHeight="4620" tabRatio="628" firstSheet="1" activeTab="1"/>
  </bookViews>
  <sheets>
    <sheet name="14.10.22" sheetId="1" state="hidden" r:id="rId1"/>
    <sheet name="п.10 (4)" sheetId="2" r:id="rId2"/>
    <sheet name="06.02 без мобил" sheetId="3" state="hidden" r:id="rId3"/>
    <sheet name="ФОТ по мобил." sheetId="4" state="hidden" r:id="rId4"/>
    <sheet name="06.02 с мобил" sheetId="5" state="hidden" r:id="rId5"/>
    <sheet name="31.01.2023г с дефицитом" sheetId="6" state="hidden" r:id="rId6"/>
    <sheet name="ДЕФИЦИТ " sheetId="7" state="hidden" r:id="rId7"/>
  </sheets>
  <definedNames>
    <definedName name="_xlfn.IFERROR" hidden="1">#NAME?</definedName>
    <definedName name="_xlfn.SUMIFS" hidden="1">#NAME?</definedName>
    <definedName name="Print_Area_1" localSheetId="2">'06.02 без мобил'!$B$1:$B$45</definedName>
    <definedName name="Print_Area_1" localSheetId="4">'06.02 с мобил'!$B$1:$B$45</definedName>
    <definedName name="Print_Area_1" localSheetId="0">'14.10.22'!$B$1:$C$44</definedName>
    <definedName name="Print_Area_1" localSheetId="5">'31.01.2023г с дефицитом'!$B$1:$B$47</definedName>
    <definedName name="Print_Area_1" localSheetId="6">'ДЕФИЦИТ '!$B$3:$B$47</definedName>
    <definedName name="Print_Area_1" localSheetId="1">'п.10 (4)'!$B$4:$B$14</definedName>
    <definedName name="Print_Area_1" localSheetId="3">'ФОТ по мобил.'!$B$1:$B$29</definedName>
    <definedName name="Print_Area_1">#REF!</definedName>
    <definedName name="Print_Titles_1" localSheetId="2">'06.02 без мобил'!$3:$5</definedName>
    <definedName name="Print_Titles_1" localSheetId="4">'06.02 с мобил'!$3:$5</definedName>
    <definedName name="Print_Titles_1" localSheetId="0">'14.10.22'!$4:$7</definedName>
    <definedName name="Print_Titles_1" localSheetId="5">'31.01.2023г с дефицитом'!$5:$7</definedName>
    <definedName name="Print_Titles_1" localSheetId="6">'ДЕФИЦИТ '!$5:$7</definedName>
    <definedName name="Print_Titles_1" localSheetId="1">'п.10 (4)'!$6:$10</definedName>
    <definedName name="Print_Titles_1" localSheetId="3">'ФОТ по мобил.'!$3:$5</definedName>
    <definedName name="Print_Titles_1">#REF!</definedName>
    <definedName name="_xlnm.Print_Titles" localSheetId="2">'06.02 без мобил'!$A:$B</definedName>
    <definedName name="_xlnm.Print_Titles" localSheetId="4">'06.02 с мобил'!$A:$B</definedName>
    <definedName name="_xlnm.Print_Titles" localSheetId="0">'14.10.22'!$A:$B,'14.10.22'!$7:$7</definedName>
    <definedName name="_xlnm.Print_Titles" localSheetId="5">'31.01.2023г с дефицитом'!$A:$B</definedName>
    <definedName name="_xlnm.Print_Titles" localSheetId="6">'ДЕФИЦИТ '!$A:$B</definedName>
    <definedName name="_xlnm.Print_Titles" localSheetId="1">'п.10 (4)'!$A:$B,'п.10 (4)'!$6:$10</definedName>
    <definedName name="задолженость" localSheetId="2">'06.02 без мобил'!$B$8:$B$46</definedName>
    <definedName name="задолженость" localSheetId="4">'06.02 с мобил'!$B$8:$B$46</definedName>
    <definedName name="задолженость" localSheetId="0">'14.10.22'!$B$8:$C$46</definedName>
    <definedName name="задолженость" localSheetId="5">'31.01.2023г с дефицитом'!$B$10:$B$48</definedName>
    <definedName name="задолженость" localSheetId="6">'ДЕФИЦИТ '!$B$10:$B$48</definedName>
    <definedName name="задолженость" localSheetId="1">'п.10 (4)'!$B$12:$B$14</definedName>
    <definedName name="задолженость" localSheetId="3">'ФОТ по мобил.'!$B$7:$B$29</definedName>
    <definedName name="задолженость">#REF!</definedName>
    <definedName name="_xlnm.Print_Area" localSheetId="2">'06.02 без мобил'!$A$1:$BF$50</definedName>
    <definedName name="_xlnm.Print_Area" localSheetId="4">'06.02 с мобил'!$A$1:$AK$50</definedName>
    <definedName name="_xlnm.Print_Area" localSheetId="0">'14.10.22'!$A$1:$R$47</definedName>
    <definedName name="_xlnm.Print_Area" localSheetId="5">'31.01.2023г с дефицитом'!$A$1:$AP$57</definedName>
    <definedName name="_xlnm.Print_Area" localSheetId="6">'ДЕФИЦИТ '!$A$3:$AO$52</definedName>
    <definedName name="_xlnm.Print_Area" localSheetId="1">'п.10 (4)'!$A$1:$K$21</definedName>
    <definedName name="_xlnm.Print_Area" localSheetId="3">'ФОТ по мобил.'!$A$1:$Q$50</definedName>
  </definedNames>
  <calcPr fullCalcOnLoad="1"/>
</workbook>
</file>

<file path=xl/sharedStrings.xml><?xml version="1.0" encoding="utf-8"?>
<sst xmlns="http://schemas.openxmlformats.org/spreadsheetml/2006/main" count="646" uniqueCount="167">
  <si>
    <t>Наименование предприятия,структурного подразделения</t>
  </si>
  <si>
    <t>№п/п</t>
  </si>
  <si>
    <t>IV</t>
  </si>
  <si>
    <t>V</t>
  </si>
  <si>
    <t>III</t>
  </si>
  <si>
    <t>ГУП  ДНР "Ш. КОМСОМОЛЕЦ ДОНБАССА", в т.ч.</t>
  </si>
  <si>
    <t>ГУП ДНР "Шахта А.Ф. Засядько", в т.ч.</t>
  </si>
  <si>
    <t>ГУП ДНР "Торезантрацит ", в т.ч.</t>
  </si>
  <si>
    <t>филиал шахта Прогресс, в т.ч.</t>
  </si>
  <si>
    <t>филиал шахта Лутугина, в .т.ч.</t>
  </si>
  <si>
    <t>филиал шахта Волынское, в т.ч.</t>
  </si>
  <si>
    <t>филиал шахта Шахтерская -Глубокая, в т.ч.</t>
  </si>
  <si>
    <t>филиал УВП в т.ч.</t>
  </si>
  <si>
    <t>филиал ш.17 п/съездв, т.ч.</t>
  </si>
  <si>
    <t>филиал ш.Ткачука, в т.ч.</t>
  </si>
  <si>
    <t>филиал ш.Заря, в т.ч.</t>
  </si>
  <si>
    <t>филиал ш.Ударник, в т.ч.</t>
  </si>
  <si>
    <t>филиал ТРМЗ, в т.ч.</t>
  </si>
  <si>
    <t>филиал Автобаза, в т.ч.</t>
  </si>
  <si>
    <t>филиал Спецаппарат, в.т.ч.</t>
  </si>
  <si>
    <t>филиал БСМР, в т.ч.</t>
  </si>
  <si>
    <t>филиал Санаторий  Прогресс, в т.ч.</t>
  </si>
  <si>
    <t>филиал УКК, в т.ч.</t>
  </si>
  <si>
    <t>филиал ЦОФ Шахтерская, в т.ч.</t>
  </si>
  <si>
    <t>филиал УРС и ПР, в т.ч.</t>
  </si>
  <si>
    <t>филиал Санаторий  Заря, в т.ч.</t>
  </si>
  <si>
    <t>тыс.руб</t>
  </si>
  <si>
    <t>ГУП ДНР "МУПП", в т.ч.</t>
  </si>
  <si>
    <t>ГУП ДНР "Макеевгрузтранс", в т.ч.</t>
  </si>
  <si>
    <t>VI</t>
  </si>
  <si>
    <t>VII</t>
  </si>
  <si>
    <t>Всего на 1.12.2022</t>
  </si>
  <si>
    <t>ГУП ДНР "__________________", в т.ч.</t>
  </si>
  <si>
    <t>филиал "Шахта им. _____________"</t>
  </si>
  <si>
    <t>Всего</t>
  </si>
  <si>
    <t>Заработная плата</t>
  </si>
  <si>
    <t>Подоходный налог</t>
  </si>
  <si>
    <t>ЯНВАРЬ</t>
  </si>
  <si>
    <t>ФЕВРАЛЬ</t>
  </si>
  <si>
    <t>МАРТ</t>
  </si>
  <si>
    <t>АПРЕЛЬ</t>
  </si>
  <si>
    <t>I</t>
  </si>
  <si>
    <t>Сумма задолженности по заработной плате без задолженности мобилизованным и такелажникам)</t>
  </si>
  <si>
    <t>Исполнитель</t>
  </si>
  <si>
    <t>Руководитель предприятия</t>
  </si>
  <si>
    <t>Информация о ФОТ, ЕВ, обеспеченность собственными средствами на выплату заработной платы Министерства угля и энергетики ДНР
с января по апрель 2023г.</t>
  </si>
  <si>
    <t>МАКЕТ 1</t>
  </si>
  <si>
    <t>ЕВ</t>
  </si>
  <si>
    <t>Начисленная заработная плата</t>
  </si>
  <si>
    <t>Обесаеченность собмтвенными средствами</t>
  </si>
  <si>
    <t>план</t>
  </si>
  <si>
    <t>ожид.</t>
  </si>
  <si>
    <t xml:space="preserve">%, </t>
  </si>
  <si>
    <t>ВСЕГО</t>
  </si>
  <si>
    <t>Объем производства в натуральном выражении (тыс.)</t>
  </si>
  <si>
    <t>ФОТ, тыс.руб.</t>
  </si>
  <si>
    <t>ЕВ, тыс.руб.</t>
  </si>
  <si>
    <t>Всего, тыс.руб.</t>
  </si>
  <si>
    <t>Обеспеченность собственными средствами на выплату заработной платы,  тыс.руб.</t>
  </si>
  <si>
    <t>Приложение 1</t>
  </si>
  <si>
    <t>ГУП ДНР " ДУЭК", в т.ч.</t>
  </si>
  <si>
    <t>ГУП ДНР "МУПП"</t>
  </si>
  <si>
    <t>ГУП ДНР "Макеевгрузтранс"</t>
  </si>
  <si>
    <t>ГУП ДНР " Макеевуголь"</t>
  </si>
  <si>
    <t>Всего по Министерству</t>
  </si>
  <si>
    <t>филиал "шахта им.А.А.Скочинского"</t>
  </si>
  <si>
    <t>филиал "шахта им. Челюскинцев"</t>
  </si>
  <si>
    <t>Аппарат управления</t>
  </si>
  <si>
    <t>филиал "ПКБ"</t>
  </si>
  <si>
    <t>филиал "Учебно - курсовой комбинат"</t>
  </si>
  <si>
    <t>филиал "Управление горно- технических работ"</t>
  </si>
  <si>
    <t>филиал Донецкое УПТППОиРЗ</t>
  </si>
  <si>
    <t>филиал "шахта Октябрьский рудник"</t>
  </si>
  <si>
    <t>филиал "Донецкая автобаза"</t>
  </si>
  <si>
    <t>Филиал "Автобаза"</t>
  </si>
  <si>
    <t>ГУП ДНР "Шахта А.Ф. Засядько"</t>
  </si>
  <si>
    <t>II</t>
  </si>
  <si>
    <t>ГУП ДНР "Шахта "Комсомолец Донбасса"</t>
  </si>
  <si>
    <t xml:space="preserve">ВСЕГО </t>
  </si>
  <si>
    <t xml:space="preserve">АПРЕЛЬ </t>
  </si>
  <si>
    <t>Филиал "Шахта "Иловайская"</t>
  </si>
  <si>
    <t>Филиал "Шахта "Холодная Балка"</t>
  </si>
  <si>
    <t>Филиал "Шахта им. С.М.Кирова"</t>
  </si>
  <si>
    <t>Филиал "Шахта "Калиновская-Восточная"</t>
  </si>
  <si>
    <t>Филиал "Шахта "Ясиновская-Глубокая"</t>
  </si>
  <si>
    <t>Филиал "Шахта "им.В.М.Бажанова"</t>
  </si>
  <si>
    <t>Филиал "Шахта им. М.И. Калинина"</t>
  </si>
  <si>
    <t>Филиал "Макеевский РМЗ"</t>
  </si>
  <si>
    <t>Филиал "УНИиРГШО"</t>
  </si>
  <si>
    <t>"Макеевуголь "Аппарат управления"</t>
  </si>
  <si>
    <t>филиал "Шахта "Прогресс"</t>
  </si>
  <si>
    <t>филиал "Шахтоуправление им. Л.И. Лутугина"</t>
  </si>
  <si>
    <t>филиал "Шахтоуправление Волынское"</t>
  </si>
  <si>
    <t>филиал "Шахта "Заря"</t>
  </si>
  <si>
    <t>филиал "Шахта "Шахтерская-Глубокая"</t>
  </si>
  <si>
    <t>филиал "ЦОФ "Шахтерская"</t>
  </si>
  <si>
    <t>филиал "Торезский РМЗ"</t>
  </si>
  <si>
    <t>филиал "Автобаза"</t>
  </si>
  <si>
    <t>филиал "УВП"</t>
  </si>
  <si>
    <t>филиал "УРСиПР"</t>
  </si>
  <si>
    <t>филиал "УКК"</t>
  </si>
  <si>
    <t>филиал "БСМР"</t>
  </si>
  <si>
    <t>филиал "Шахтоуправление им.17 партсъезда"</t>
  </si>
  <si>
    <t>филиал "Шахта "Ударник"</t>
  </si>
  <si>
    <t>филиал "Шахта им.С.П.Ткачука"</t>
  </si>
  <si>
    <t>Информация о ФОТ( без мобилизованных и такелажников), Единый Взнос, обеспеченность собственными средствами на выплату заработной платы предприятий Министерства угля и энергетики ДНР за январь-апрель 2023г.</t>
  </si>
  <si>
    <t>Объем производства в натуральном выражении (тыс.тонн)</t>
  </si>
  <si>
    <r>
      <t>ФОТ (</t>
    </r>
    <r>
      <rPr>
        <sz val="11"/>
        <rFont val="Times New Roman"/>
        <family val="1"/>
      </rPr>
      <t>без мобилизованных и такелажников)</t>
    </r>
    <r>
      <rPr>
        <sz val="14"/>
        <rFont val="Times New Roman"/>
        <family val="1"/>
      </rPr>
      <t>, тыс.руб.</t>
    </r>
  </si>
  <si>
    <t xml:space="preserve"> ФОТ( мобилизованных и такелажников), ЕВ,  предприятий Министерства угля и энергетики ДНР за январь-апрель 2023г.</t>
  </si>
  <si>
    <t>Прогноз дефицита собственных средств на выплату ЗП ( С ПОДОХОДНЫМ НАЛОГОМ)</t>
  </si>
  <si>
    <r>
      <t xml:space="preserve">Прогноз дефицита собственных средств </t>
    </r>
    <r>
      <rPr>
        <b/>
        <sz val="11"/>
        <color indexed="45"/>
        <rFont val="Times New Roman"/>
        <family val="1"/>
      </rPr>
      <t>на выплату Заработной платы</t>
    </r>
    <r>
      <rPr>
        <b/>
        <sz val="11"/>
        <rFont val="Times New Roman"/>
        <family val="1"/>
      </rPr>
      <t xml:space="preserve"> ( С ПОДОХОДНЫМ НАЛОГОМ)</t>
    </r>
  </si>
  <si>
    <t>**</t>
  </si>
  <si>
    <t xml:space="preserve">Прогноз дефицита собственных средств на выплату </t>
  </si>
  <si>
    <t xml:space="preserve">Заработной платы ( С ПОДОХОДНЫМ НАЛОГОМ) </t>
  </si>
  <si>
    <t>ЕВ необходимо 765 505,0 тыс.руб</t>
  </si>
  <si>
    <t xml:space="preserve">составляет 1 741 249,8 тыс.руб., кроме того на выплату </t>
  </si>
  <si>
    <t>Информация о ФОТ( без мобилизованных и такелажников)</t>
  </si>
  <si>
    <t>Единый Взнос, обеспеченность собственными средствами на выплату заработной платы</t>
  </si>
  <si>
    <t>предприятий Министерства угля и энергетики ДНР за январь-апрель 2023г.</t>
  </si>
  <si>
    <t>Аппарат управления(в ч. СЕ САИС, СЕ Углесбыт, СЕ ПКБ)</t>
  </si>
  <si>
    <t>филиал "Автобаза"_т</t>
  </si>
  <si>
    <t xml:space="preserve">ФОТ </t>
  </si>
  <si>
    <t>ФОТ</t>
  </si>
  <si>
    <t>5=4/3*100</t>
  </si>
  <si>
    <t>8=6+7</t>
  </si>
  <si>
    <t>13=12/11*100</t>
  </si>
  <si>
    <t>16=14+15</t>
  </si>
  <si>
    <t>21=20/19*100</t>
  </si>
  <si>
    <t>24=22+23</t>
  </si>
  <si>
    <t>29=28/27*100</t>
  </si>
  <si>
    <t>32=30+31</t>
  </si>
  <si>
    <t>37=36/35*100</t>
  </si>
  <si>
    <t>40=38+39</t>
  </si>
  <si>
    <t>МАЙ</t>
  </si>
  <si>
    <t>ИЮНЬ</t>
  </si>
  <si>
    <t>ВСЕГО ЯНВАРЬ-ИЮНЬ 2023</t>
  </si>
  <si>
    <t>10=9-8</t>
  </si>
  <si>
    <t>Информация о потребности в денежных средствах на выплату заработной платы предприятиям угольной отрасли за период  январь-июнь 2023 года (с единым взносом)</t>
  </si>
  <si>
    <t>Наименование предприятия</t>
  </si>
  <si>
    <t>Потребность в денежных средствах на выплату заработной платы ( с подоходным налогом и ЕВ), тыс. руб</t>
  </si>
  <si>
    <t>ГУП ДНР "Торезантрацит "</t>
  </si>
  <si>
    <t>ГУП ДНР " ДУЭК"</t>
  </si>
  <si>
    <t>ГУП ДНР "Макеевпогрузтранс"</t>
  </si>
  <si>
    <t>в том числе</t>
  </si>
  <si>
    <t>остальных рабочих, руководителей, специалистов и технических служащих</t>
  </si>
  <si>
    <t>потребность в денежных средствах на премирование при выполнении планов производств  тыс. руб.</t>
  </si>
  <si>
    <t>потребность в денежных средствах на доплаты за работу в выходные дни, сверхурочно, совмещение, компенсация за неиспользован-ные дополнительные оплачиваемые дни отпуска, персональные надбавки  тыс.руб.</t>
  </si>
  <si>
    <t>рабочих, занятых на основных процессах производства</t>
  </si>
  <si>
    <t>тыс. руб.</t>
  </si>
  <si>
    <t>ГОСУДАРСТВЕННОЕ УНИТАРНОЕ ПРЕДПРИЯТИЕ ДОНЕЦКОЙ НАРОДНОЙ РЕСПУБЛИКИ "ДОНЕЦКАЯ УГОЛЬНАЯ ЭНЕРГЕТИЧЕСКАЯ КОМПАНИЯ"</t>
  </si>
  <si>
    <t>ГОСУДАРСТВЕННОЕ УНИТАРНОЕ ПРЕДПРИЯТИЕ  ДОНЕЦКОЙ НАРОДНОЙ РЕСПУБЛИКИ "МАКЕЕВУГОЛЬ"</t>
  </si>
  <si>
    <t>Наименование получателя субсидии</t>
  </si>
  <si>
    <t>ГОСУДАРСТВЕННОЕ УНИТАРНОЕ ПРЕДПРИЯТИЕ  ДОНЕЦКОЙ НАРОДНОЙ РЕСПУБЛИКИ "ШАХТА КОМСОМОЛЕЦ ДОНБАССА"</t>
  </si>
  <si>
    <t>РЕСПУБЛИКАНСКОЕ ПРЕДПРИЯТИЕ "ОРДЖОНИКИДЗЕУГОЛЬ"</t>
  </si>
  <si>
    <t>ГОСУДАРСТВЕННОЕ ПРЕДПРИЯТИЕ "АРТЕМУГОЛЬ"</t>
  </si>
  <si>
    <t>ГОСУДАРСТВЕННОЕ УНИТАРНОЕ ПРЕДПРИЯТИЕ  ДОНЕЦКОЙ НАРОДНОЙ РЕСПУБЛИКИ "МОСПИНСКОЕ УГЛЕПЕРЕРАБАТЫВАЮЩЕЕ ПРЕДПРИЯТИЕ"</t>
  </si>
  <si>
    <t>ГОСУДАРСТВЕННОЕ УНИТАРНОЕ ПРЕДПРИЯТИЕ  ДОНЕЦКОЙ НАРОДНОЙ РЕСПУБЛИКИ "МАКЕЕВПОГРУЗТРАНС"</t>
  </si>
  <si>
    <t xml:space="preserve">заработная плата  с НДФЛ и прочими удержаниями работников, направленных для проведения такелажных работ на объектах оборонного значения за период с января по февраль 2023 года  </t>
  </si>
  <si>
    <t xml:space="preserve">Страховой взнос в установленном размере  за период с января по апрель 2023 года       </t>
  </si>
  <si>
    <t xml:space="preserve">потребность в денежных средствах на выплату заработной платы  (с НДФЛ, прочими удержаниями и страховым взносом) работников, направленных для проведения такелажных работ на объектах оборонного значения за период с января по февраль 2023 года  </t>
  </si>
  <si>
    <t xml:space="preserve">Итого потребность в денежных средствах на выплату заработной платы  (с НДФЛ, прочими удержаниями и страховым взносом)  за период с января по апрель 2023 года       </t>
  </si>
  <si>
    <t xml:space="preserve">Заработная плата с НДФЛ и прочими удержаниями за период с января по апрель 2023 года                </t>
  </si>
  <si>
    <t>Мероприятия по оказанию поддержки предприятиям угольной отрасли Донецкой Народной Республики на расходы на оплату труда и погашение задолженности по заработной плате 
с целью снижения социальной напряженности</t>
  </si>
  <si>
    <t xml:space="preserve">страховой взнос при выплате заработной платы работников, направленных для проведения такелажных работ на объектах оборонного значения за период с января по февраль 2023 года  </t>
  </si>
  <si>
    <t xml:space="preserve">к Порядку предоставления из бюджета Донецкой Народной Республики субсидии на реализацию Мероприятий по оказанию поддержки предприятиям угольной отрасли Донецкой Народной Республики на расходы на оплату труда и погашение задолженности по заработной плате с целью снижения социальной напряженности, утвержденному постановлением Президиума Правительства Донецкой Народной Республики от 22 мая 2023 г. № 32-1                                                                             
(в редакции постановления Правительства Донецкой Народной Республики 
от 30 ноября 2023 г. № 101-4)                                                                                                </t>
  </si>
  <si>
    <t>ГОСУДАРСТВЕННОЕ УНИТАРНОЕ ПРЕДПРИЯТИЕ  ДОНЕЦКОЙ НАРОДНОЙ РЕСПУБЛИКИ "ТОРЕЗАНТРАЦИТ"</t>
  </si>
  <si>
    <t>ГОСУДАРСТВЕННОЕ УНИТАРНОЕ ПРЕДПРИЯТИЕ  ДОНЕЦКОЙ НАРОДНОЙ РЕСПУБЛИКИ "ШАХТА ИМЕНИ А.Ф. ЗАСЯДЬКО"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</si>
</sst>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</numFmts>
  <fonts count="6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11"/>
      <name val="Times New Roman"/>
      <family val="1"/>
    </font>
    <font>
      <sz val="11"/>
      <color indexed="45"/>
      <name val="Times New Roman"/>
      <family val="1"/>
    </font>
    <font>
      <b/>
      <sz val="14"/>
      <color indexed="5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5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6"/>
      <color indexed="55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5"/>
      <name val="Times New Roman"/>
      <family val="1"/>
    </font>
    <font>
      <sz val="16"/>
      <color indexed="55"/>
      <name val="Times New Roman"/>
      <family val="1"/>
    </font>
    <font>
      <sz val="10"/>
      <name val="Times New Roman"/>
      <family val="1"/>
    </font>
    <font>
      <sz val="10"/>
      <color indexed="55"/>
      <name val="Times New Roman"/>
      <family val="1"/>
    </font>
    <font>
      <sz val="16"/>
      <name val="Times New Roman"/>
      <family val="1"/>
    </font>
    <font>
      <sz val="12"/>
      <color indexed="52"/>
      <name val="Times New Roman"/>
      <family val="1"/>
    </font>
    <font>
      <sz val="12"/>
      <color indexed="45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45"/>
      <name val="Times New Roman"/>
      <family val="1"/>
    </font>
    <font>
      <sz val="14"/>
      <color indexed="45"/>
      <name val="Times New Roman"/>
      <family val="1"/>
    </font>
    <font>
      <b/>
      <sz val="14"/>
      <color indexed="45"/>
      <name val="Times New Roman"/>
      <family val="1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2"/>
      <color indexed="14"/>
      <name val="Times New Roman"/>
      <family val="1"/>
    </font>
    <font>
      <b/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5"/>
      </left>
      <right style="thin"/>
      <top style="thin"/>
      <bottom style="thin"/>
    </border>
    <border>
      <left style="thin"/>
      <right style="medium">
        <color indexed="15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15"/>
      </left>
      <right style="medium"/>
      <top style="thin"/>
      <bottom style="thin"/>
    </border>
    <border>
      <left style="medium">
        <color indexed="15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5"/>
      </left>
      <right style="medium"/>
      <top style="thin"/>
      <bottom>
        <color indexed="63"/>
      </bottom>
    </border>
    <border>
      <left style="medium">
        <color indexed="15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4" fontId="9" fillId="33" borderId="1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center" vertical="center" wrapText="1"/>
    </xf>
    <xf numFmtId="174" fontId="7" fillId="33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left" wrapText="1"/>
    </xf>
    <xf numFmtId="174" fontId="9" fillId="0" borderId="0" xfId="0" applyNumberFormat="1" applyFont="1" applyFill="1" applyBorder="1" applyAlignment="1">
      <alignment horizontal="right"/>
    </xf>
    <xf numFmtId="174" fontId="7" fillId="33" borderId="0" xfId="0" applyNumberFormat="1" applyFont="1" applyFill="1" applyBorder="1" applyAlignment="1">
      <alignment horizontal="center"/>
    </xf>
    <xf numFmtId="174" fontId="9" fillId="33" borderId="0" xfId="0" applyNumberFormat="1" applyFont="1" applyFill="1" applyBorder="1" applyAlignment="1">
      <alignment horizontal="center"/>
    </xf>
    <xf numFmtId="174" fontId="8" fillId="33" borderId="0" xfId="0" applyNumberFormat="1" applyFont="1" applyFill="1" applyBorder="1" applyAlignment="1">
      <alignment horizontal="center"/>
    </xf>
    <xf numFmtId="174" fontId="8" fillId="34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 horizontal="center"/>
    </xf>
    <xf numFmtId="174" fontId="8" fillId="34" borderId="10" xfId="0" applyNumberFormat="1" applyFont="1" applyFill="1" applyBorder="1" applyAlignment="1">
      <alignment horizontal="center"/>
    </xf>
    <xf numFmtId="174" fontId="8" fillId="34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174" fontId="21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4" fontId="8" fillId="34" borderId="10" xfId="0" applyNumberFormat="1" applyFont="1" applyFill="1" applyBorder="1" applyAlignment="1">
      <alignment horizontal="left" wrapText="1"/>
    </xf>
    <xf numFmtId="174" fontId="7" fillId="35" borderId="10" xfId="0" applyNumberFormat="1" applyFont="1" applyFill="1" applyBorder="1" applyAlignment="1">
      <alignment horizontal="left" wrapText="1"/>
    </xf>
    <xf numFmtId="2" fontId="12" fillId="35" borderId="10" xfId="0" applyNumberFormat="1" applyFont="1" applyFill="1" applyBorder="1" applyAlignment="1">
      <alignment horizontal="left" wrapText="1"/>
    </xf>
    <xf numFmtId="2" fontId="7" fillId="35" borderId="10" xfId="0" applyNumberFormat="1" applyFont="1" applyFill="1" applyBorder="1" applyAlignment="1">
      <alignment horizontal="left" wrapText="1"/>
    </xf>
    <xf numFmtId="1" fontId="7" fillId="34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174" fontId="7" fillId="35" borderId="10" xfId="0" applyNumberFormat="1" applyFont="1" applyFill="1" applyBorder="1" applyAlignment="1">
      <alignment horizont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center" wrapText="1"/>
    </xf>
    <xf numFmtId="174" fontId="10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 horizontal="center"/>
    </xf>
    <xf numFmtId="174" fontId="10" fillId="36" borderId="10" xfId="0" applyNumberFormat="1" applyFont="1" applyFill="1" applyBorder="1" applyAlignment="1">
      <alignment horizontal="center" vertical="center" wrapText="1"/>
    </xf>
    <xf numFmtId="174" fontId="12" fillId="35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/>
    </xf>
    <xf numFmtId="174" fontId="10" fillId="35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wrapText="1"/>
    </xf>
    <xf numFmtId="174" fontId="12" fillId="36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wrapText="1"/>
    </xf>
    <xf numFmtId="174" fontId="12" fillId="0" borderId="10" xfId="0" applyNumberFormat="1" applyFont="1" applyFill="1" applyBorder="1" applyAlignment="1">
      <alignment horizontal="center" wrapText="1"/>
    </xf>
    <xf numFmtId="174" fontId="24" fillId="0" borderId="10" xfId="0" applyNumberFormat="1" applyFont="1" applyFill="1" applyBorder="1" applyAlignment="1">
      <alignment horizontal="center"/>
    </xf>
    <xf numFmtId="174" fontId="12" fillId="35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left" vertical="center" wrapText="1"/>
    </xf>
    <xf numFmtId="174" fontId="11" fillId="34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wrapText="1"/>
    </xf>
    <xf numFmtId="174" fontId="23" fillId="33" borderId="10" xfId="0" applyNumberFormat="1" applyFont="1" applyFill="1" applyBorder="1" applyAlignment="1">
      <alignment horizontal="center" wrapText="1"/>
    </xf>
    <xf numFmtId="174" fontId="24" fillId="33" borderId="10" xfId="0" applyNumberFormat="1" applyFont="1" applyFill="1" applyBorder="1" applyAlignment="1">
      <alignment horizontal="center"/>
    </xf>
    <xf numFmtId="174" fontId="13" fillId="0" borderId="10" xfId="0" applyNumberFormat="1" applyFont="1" applyFill="1" applyBorder="1" applyAlignment="1">
      <alignment horizontal="center" wrapText="1"/>
    </xf>
    <xf numFmtId="174" fontId="1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Alignment="1">
      <alignment/>
    </xf>
    <xf numFmtId="174" fontId="14" fillId="0" borderId="0" xfId="0" applyNumberFormat="1" applyFont="1" applyFill="1" applyAlignment="1">
      <alignment/>
    </xf>
    <xf numFmtId="174" fontId="14" fillId="0" borderId="0" xfId="0" applyNumberFormat="1" applyFont="1" applyAlignment="1">
      <alignment/>
    </xf>
    <xf numFmtId="174" fontId="17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vertical="center" wrapText="1"/>
    </xf>
    <xf numFmtId="174" fontId="6" fillId="0" borderId="0" xfId="0" applyNumberFormat="1" applyFont="1" applyFill="1" applyAlignment="1">
      <alignment horizontal="center" vertical="center"/>
    </xf>
    <xf numFmtId="174" fontId="24" fillId="34" borderId="10" xfId="0" applyNumberFormat="1" applyFont="1" applyFill="1" applyBorder="1" applyAlignment="1">
      <alignment horizontal="center"/>
    </xf>
    <xf numFmtId="174" fontId="22" fillId="34" borderId="10" xfId="0" applyNumberFormat="1" applyFont="1" applyFill="1" applyBorder="1" applyAlignment="1">
      <alignment/>
    </xf>
    <xf numFmtId="174" fontId="22" fillId="34" borderId="10" xfId="0" applyNumberFormat="1" applyFont="1" applyFill="1" applyBorder="1" applyAlignment="1">
      <alignment horizontal="center"/>
    </xf>
    <xf numFmtId="174" fontId="4" fillId="34" borderId="0" xfId="0" applyNumberFormat="1" applyFont="1" applyFill="1" applyAlignment="1">
      <alignment/>
    </xf>
    <xf numFmtId="174" fontId="24" fillId="0" borderId="10" xfId="0" applyNumberFormat="1" applyFont="1" applyFill="1" applyBorder="1" applyAlignment="1">
      <alignment horizontal="center" wrapText="1"/>
    </xf>
    <xf numFmtId="174" fontId="25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74" fontId="24" fillId="35" borderId="10" xfId="0" applyNumberFormat="1" applyFont="1" applyFill="1" applyBorder="1" applyAlignment="1">
      <alignment horizont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4" fontId="24" fillId="34" borderId="10" xfId="0" applyNumberFormat="1" applyFont="1" applyFill="1" applyBorder="1" applyAlignment="1">
      <alignment horizontal="center" wrapText="1"/>
    </xf>
    <xf numFmtId="174" fontId="22" fillId="34" borderId="10" xfId="0" applyNumberFormat="1" applyFont="1" applyFill="1" applyBorder="1" applyAlignment="1">
      <alignment horizontal="center" wrapText="1"/>
    </xf>
    <xf numFmtId="174" fontId="25" fillId="34" borderId="10" xfId="0" applyNumberFormat="1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/>
    </xf>
    <xf numFmtId="174" fontId="24" fillId="35" borderId="10" xfId="0" applyNumberFormat="1" applyFont="1" applyFill="1" applyBorder="1" applyAlignment="1">
      <alignment horizontal="center"/>
    </xf>
    <xf numFmtId="174" fontId="22" fillId="35" borderId="10" xfId="0" applyNumberFormat="1" applyFont="1" applyFill="1" applyBorder="1" applyAlignment="1">
      <alignment horizont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174" fontId="26" fillId="35" borderId="10" xfId="0" applyNumberFormat="1" applyFont="1" applyFill="1" applyBorder="1" applyAlignment="1">
      <alignment horizontal="center" wrapText="1"/>
    </xf>
    <xf numFmtId="174" fontId="26" fillId="35" borderId="10" xfId="0" applyNumberFormat="1" applyFont="1" applyFill="1" applyBorder="1" applyAlignment="1">
      <alignment horizontal="left" wrapText="1"/>
    </xf>
    <xf numFmtId="2" fontId="24" fillId="35" borderId="10" xfId="0" applyNumberFormat="1" applyFont="1" applyFill="1" applyBorder="1" applyAlignment="1">
      <alignment horizontal="center" wrapText="1"/>
    </xf>
    <xf numFmtId="2" fontId="24" fillId="35" borderId="10" xfId="0" applyNumberFormat="1" applyFont="1" applyFill="1" applyBorder="1" applyAlignment="1">
      <alignment horizontal="left" wrapText="1"/>
    </xf>
    <xf numFmtId="2" fontId="26" fillId="35" borderId="10" xfId="0" applyNumberFormat="1" applyFont="1" applyFill="1" applyBorder="1" applyAlignment="1">
      <alignment horizontal="left" wrapText="1"/>
    </xf>
    <xf numFmtId="174" fontId="24" fillId="36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/>
    </xf>
    <xf numFmtId="174" fontId="25" fillId="34" borderId="10" xfId="0" applyNumberFormat="1" applyFont="1" applyFill="1" applyBorder="1" applyAlignment="1">
      <alignment horizontal="left" wrapText="1"/>
    </xf>
    <xf numFmtId="174" fontId="25" fillId="0" borderId="13" xfId="0" applyNumberFormat="1" applyFont="1" applyFill="1" applyBorder="1" applyAlignment="1">
      <alignment horizontal="left" vertical="center" wrapText="1"/>
    </xf>
    <xf numFmtId="1" fontId="26" fillId="34" borderId="1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Alignment="1">
      <alignment/>
    </xf>
    <xf numFmtId="174" fontId="12" fillId="34" borderId="10" xfId="0" applyNumberFormat="1" applyFont="1" applyFill="1" applyBorder="1" applyAlignment="1">
      <alignment horizontal="center" wrapText="1"/>
    </xf>
    <xf numFmtId="174" fontId="12" fillId="34" borderId="10" xfId="0" applyNumberFormat="1" applyFont="1" applyFill="1" applyBorder="1" applyAlignment="1">
      <alignment horizontal="center"/>
    </xf>
    <xf numFmtId="174" fontId="7" fillId="36" borderId="13" xfId="0" applyNumberFormat="1" applyFont="1" applyFill="1" applyBorder="1" applyAlignment="1">
      <alignment horizontal="center" vertical="center" wrapText="1"/>
    </xf>
    <xf numFmtId="174" fontId="26" fillId="35" borderId="13" xfId="0" applyNumberFormat="1" applyFont="1" applyFill="1" applyBorder="1" applyAlignment="1">
      <alignment horizontal="left" wrapText="1"/>
    </xf>
    <xf numFmtId="174" fontId="8" fillId="0" borderId="13" xfId="0" applyNumberFormat="1" applyFont="1" applyFill="1" applyBorder="1" applyAlignment="1">
      <alignment horizontal="left" wrapText="1"/>
    </xf>
    <xf numFmtId="2" fontId="24" fillId="35" borderId="13" xfId="0" applyNumberFormat="1" applyFont="1" applyFill="1" applyBorder="1" applyAlignment="1">
      <alignment horizontal="left" wrapText="1"/>
    </xf>
    <xf numFmtId="2" fontId="26" fillId="35" borderId="13" xfId="0" applyNumberFormat="1" applyFont="1" applyFill="1" applyBorder="1" applyAlignment="1">
      <alignment horizontal="left" wrapText="1"/>
    </xf>
    <xf numFmtId="174" fontId="8" fillId="34" borderId="14" xfId="0" applyNumberFormat="1" applyFont="1" applyFill="1" applyBorder="1" applyAlignment="1">
      <alignment horizontal="center" vertical="center" wrapText="1"/>
    </xf>
    <xf numFmtId="174" fontId="12" fillId="36" borderId="14" xfId="0" applyNumberFormat="1" applyFont="1" applyFill="1" applyBorder="1" applyAlignment="1">
      <alignment horizontal="center" vertical="center" wrapText="1"/>
    </xf>
    <xf numFmtId="174" fontId="24" fillId="35" borderId="14" xfId="0" applyNumberFormat="1" applyFont="1" applyFill="1" applyBorder="1" applyAlignment="1">
      <alignment horizontal="center" wrapText="1"/>
    </xf>
    <xf numFmtId="174" fontId="12" fillId="35" borderId="14" xfId="0" applyNumberFormat="1" applyFont="1" applyFill="1" applyBorder="1" applyAlignment="1">
      <alignment horizontal="center" wrapText="1"/>
    </xf>
    <xf numFmtId="174" fontId="12" fillId="36" borderId="15" xfId="0" applyNumberFormat="1" applyFont="1" applyFill="1" applyBorder="1" applyAlignment="1">
      <alignment horizontal="center" vertical="center" wrapText="1"/>
    </xf>
    <xf numFmtId="174" fontId="12" fillId="36" borderId="16" xfId="0" applyNumberFormat="1" applyFont="1" applyFill="1" applyBorder="1" applyAlignment="1">
      <alignment horizontal="center" vertical="center" wrapText="1"/>
    </xf>
    <xf numFmtId="174" fontId="24" fillId="35" borderId="15" xfId="0" applyNumberFormat="1" applyFont="1" applyFill="1" applyBorder="1" applyAlignment="1">
      <alignment horizontal="center" wrapText="1"/>
    </xf>
    <xf numFmtId="174" fontId="24" fillId="35" borderId="16" xfId="0" applyNumberFormat="1" applyFont="1" applyFill="1" applyBorder="1" applyAlignment="1">
      <alignment horizontal="center" wrapText="1"/>
    </xf>
    <xf numFmtId="174" fontId="12" fillId="35" borderId="15" xfId="0" applyNumberFormat="1" applyFont="1" applyFill="1" applyBorder="1" applyAlignment="1">
      <alignment horizontal="center" wrapText="1"/>
    </xf>
    <xf numFmtId="174" fontId="12" fillId="35" borderId="16" xfId="0" applyNumberFormat="1" applyFont="1" applyFill="1" applyBorder="1" applyAlignment="1">
      <alignment horizontal="center" wrapText="1"/>
    </xf>
    <xf numFmtId="174" fontId="12" fillId="36" borderId="13" xfId="0" applyNumberFormat="1" applyFont="1" applyFill="1" applyBorder="1" applyAlignment="1">
      <alignment horizontal="center" vertical="center" wrapText="1"/>
    </xf>
    <xf numFmtId="174" fontId="24" fillId="35" borderId="13" xfId="0" applyNumberFormat="1" applyFont="1" applyFill="1" applyBorder="1" applyAlignment="1">
      <alignment horizontal="center" wrapText="1"/>
    </xf>
    <xf numFmtId="174" fontId="12" fillId="35" borderId="13" xfId="0" applyNumberFormat="1" applyFont="1" applyFill="1" applyBorder="1" applyAlignment="1">
      <alignment horizontal="center" wrapText="1"/>
    </xf>
    <xf numFmtId="174" fontId="7" fillId="35" borderId="13" xfId="0" applyNumberFormat="1" applyFont="1" applyFill="1" applyBorder="1" applyAlignment="1">
      <alignment horizontal="left" wrapText="1"/>
    </xf>
    <xf numFmtId="174" fontId="12" fillId="0" borderId="15" xfId="0" applyNumberFormat="1" applyFont="1" applyFill="1" applyBorder="1" applyAlignment="1">
      <alignment horizontal="center" wrapText="1"/>
    </xf>
    <xf numFmtId="174" fontId="12" fillId="0" borderId="16" xfId="0" applyNumberFormat="1" applyFont="1" applyFill="1" applyBorder="1" applyAlignment="1">
      <alignment horizontal="center" wrapText="1"/>
    </xf>
    <xf numFmtId="174" fontId="12" fillId="0" borderId="14" xfId="0" applyNumberFormat="1" applyFont="1" applyFill="1" applyBorder="1" applyAlignment="1">
      <alignment horizontal="center" wrapText="1"/>
    </xf>
    <xf numFmtId="174" fontId="12" fillId="0" borderId="13" xfId="0" applyNumberFormat="1" applyFont="1" applyFill="1" applyBorder="1" applyAlignment="1">
      <alignment horizontal="center" wrapText="1"/>
    </xf>
    <xf numFmtId="174" fontId="10" fillId="0" borderId="10" xfId="0" applyNumberFormat="1" applyFont="1" applyFill="1" applyBorder="1" applyAlignment="1">
      <alignment/>
    </xf>
    <xf numFmtId="174" fontId="10" fillId="34" borderId="10" xfId="0" applyNumberFormat="1" applyFont="1" applyFill="1" applyBorder="1" applyAlignment="1">
      <alignment horizontal="center" wrapText="1"/>
    </xf>
    <xf numFmtId="174" fontId="10" fillId="34" borderId="10" xfId="0" applyNumberFormat="1" applyFont="1" applyFill="1" applyBorder="1" applyAlignment="1">
      <alignment/>
    </xf>
    <xf numFmtId="174" fontId="10" fillId="34" borderId="10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10" fillId="0" borderId="14" xfId="0" applyNumberFormat="1" applyFont="1" applyFill="1" applyBorder="1" applyAlignment="1">
      <alignment horizontal="center" wrapText="1"/>
    </xf>
    <xf numFmtId="174" fontId="10" fillId="34" borderId="14" xfId="0" applyNumberFormat="1" applyFont="1" applyFill="1" applyBorder="1" applyAlignment="1">
      <alignment horizontal="center" wrapText="1"/>
    </xf>
    <xf numFmtId="174" fontId="12" fillId="35" borderId="17" xfId="0" applyNumberFormat="1" applyFont="1" applyFill="1" applyBorder="1" applyAlignment="1">
      <alignment horizontal="center" wrapText="1"/>
    </xf>
    <xf numFmtId="174" fontId="12" fillId="35" borderId="17" xfId="0" applyNumberFormat="1" applyFont="1" applyFill="1" applyBorder="1" applyAlignment="1">
      <alignment horizontal="center"/>
    </xf>
    <xf numFmtId="174" fontId="12" fillId="35" borderId="18" xfId="0" applyNumberFormat="1" applyFont="1" applyFill="1" applyBorder="1" applyAlignment="1">
      <alignment horizontal="center" wrapText="1"/>
    </xf>
    <xf numFmtId="174" fontId="12" fillId="36" borderId="19" xfId="0" applyNumberFormat="1" applyFont="1" applyFill="1" applyBorder="1" applyAlignment="1">
      <alignment horizontal="center" vertical="center" wrapText="1"/>
    </xf>
    <xf numFmtId="174" fontId="12" fillId="35" borderId="19" xfId="0" applyNumberFormat="1" applyFont="1" applyFill="1" applyBorder="1" applyAlignment="1">
      <alignment horizontal="center" wrapText="1"/>
    </xf>
    <xf numFmtId="174" fontId="12" fillId="35" borderId="20" xfId="0" applyNumberFormat="1" applyFont="1" applyFill="1" applyBorder="1" applyAlignment="1">
      <alignment horizontal="center" wrapText="1"/>
    </xf>
    <xf numFmtId="174" fontId="10" fillId="0" borderId="19" xfId="0" applyNumberFormat="1" applyFont="1" applyFill="1" applyBorder="1" applyAlignment="1">
      <alignment horizontal="center"/>
    </xf>
    <xf numFmtId="174" fontId="10" fillId="0" borderId="13" xfId="0" applyNumberFormat="1" applyFont="1" applyFill="1" applyBorder="1" applyAlignment="1">
      <alignment horizontal="center" wrapText="1"/>
    </xf>
    <xf numFmtId="174" fontId="10" fillId="0" borderId="13" xfId="0" applyNumberFormat="1" applyFont="1" applyFill="1" applyBorder="1" applyAlignment="1">
      <alignment horizontal="center"/>
    </xf>
    <xf numFmtId="174" fontId="10" fillId="34" borderId="13" xfId="0" applyNumberFormat="1" applyFont="1" applyFill="1" applyBorder="1" applyAlignment="1">
      <alignment horizontal="center" wrapText="1"/>
    </xf>
    <xf numFmtId="174" fontId="10" fillId="34" borderId="13" xfId="0" applyNumberFormat="1" applyFont="1" applyFill="1" applyBorder="1" applyAlignment="1">
      <alignment horizontal="center"/>
    </xf>
    <xf numFmtId="174" fontId="10" fillId="34" borderId="19" xfId="0" applyNumberFormat="1" applyFont="1" applyFill="1" applyBorder="1" applyAlignment="1">
      <alignment horizontal="center"/>
    </xf>
    <xf numFmtId="174" fontId="7" fillId="35" borderId="12" xfId="0" applyNumberFormat="1" applyFont="1" applyFill="1" applyBorder="1" applyAlignment="1">
      <alignment horizontal="center" wrapText="1"/>
    </xf>
    <xf numFmtId="2" fontId="12" fillId="35" borderId="12" xfId="0" applyNumberFormat="1" applyFont="1" applyFill="1" applyBorder="1" applyAlignment="1">
      <alignment horizontal="center" wrapText="1"/>
    </xf>
    <xf numFmtId="2" fontId="12" fillId="35" borderId="21" xfId="0" applyNumberFormat="1" applyFont="1" applyFill="1" applyBorder="1" applyAlignment="1">
      <alignment horizontal="center" wrapText="1"/>
    </xf>
    <xf numFmtId="2" fontId="7" fillId="35" borderId="17" xfId="0" applyNumberFormat="1" applyFont="1" applyFill="1" applyBorder="1" applyAlignment="1">
      <alignment horizontal="left" wrapText="1"/>
    </xf>
    <xf numFmtId="174" fontId="8" fillId="34" borderId="12" xfId="0" applyNumberFormat="1" applyFont="1" applyFill="1" applyBorder="1" applyAlignment="1">
      <alignment horizontal="center" vertical="center" wrapText="1"/>
    </xf>
    <xf numFmtId="174" fontId="12" fillId="36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 wrapText="1"/>
    </xf>
    <xf numFmtId="174" fontId="10" fillId="0" borderId="12" xfId="0" applyNumberFormat="1" applyFont="1" applyFill="1" applyBorder="1" applyAlignment="1">
      <alignment horizontal="center" wrapText="1"/>
    </xf>
    <xf numFmtId="1" fontId="8" fillId="34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174" fontId="12" fillId="35" borderId="12" xfId="0" applyNumberFormat="1" applyFont="1" applyFill="1" applyBorder="1" applyAlignment="1">
      <alignment horizontal="center" wrapText="1"/>
    </xf>
    <xf numFmtId="174" fontId="10" fillId="34" borderId="12" xfId="0" applyNumberFormat="1" applyFont="1" applyFill="1" applyBorder="1" applyAlignment="1">
      <alignment horizontal="center" wrapText="1"/>
    </xf>
    <xf numFmtId="174" fontId="8" fillId="0" borderId="12" xfId="0" applyNumberFormat="1" applyFont="1" applyFill="1" applyBorder="1" applyAlignment="1">
      <alignment horizontal="center" vertical="center"/>
    </xf>
    <xf numFmtId="1" fontId="18" fillId="34" borderId="12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4" borderId="13" xfId="0" applyNumberFormat="1" applyFont="1" applyFill="1" applyBorder="1" applyAlignment="1">
      <alignment horizontal="center" vertical="center" wrapText="1"/>
    </xf>
    <xf numFmtId="1" fontId="18" fillId="34" borderId="19" xfId="0" applyNumberFormat="1" applyFont="1" applyFill="1" applyBorder="1" applyAlignment="1">
      <alignment horizontal="center" vertical="center" wrapText="1"/>
    </xf>
    <xf numFmtId="1" fontId="18" fillId="34" borderId="14" xfId="0" applyNumberFormat="1" applyFont="1" applyFill="1" applyBorder="1" applyAlignment="1">
      <alignment horizontal="center" vertical="center" wrapText="1"/>
    </xf>
    <xf numFmtId="1" fontId="18" fillId="34" borderId="12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4" fontId="12" fillId="35" borderId="22" xfId="0" applyNumberFormat="1" applyFont="1" applyFill="1" applyBorder="1" applyAlignment="1">
      <alignment horizontal="center" wrapText="1"/>
    </xf>
    <xf numFmtId="174" fontId="12" fillId="35" borderId="21" xfId="0" applyNumberFormat="1" applyFont="1" applyFill="1" applyBorder="1" applyAlignment="1">
      <alignment horizontal="center" wrapText="1"/>
    </xf>
    <xf numFmtId="174" fontId="7" fillId="35" borderId="10" xfId="0" applyNumberFormat="1" applyFont="1" applyFill="1" applyBorder="1" applyAlignment="1">
      <alignment horizontal="left" vertical="center" wrapText="1"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vertical="top" wrapText="1"/>
    </xf>
    <xf numFmtId="0" fontId="28" fillId="0" borderId="0" xfId="0" applyFont="1" applyFill="1" applyAlignment="1">
      <alignment horizontal="left"/>
    </xf>
    <xf numFmtId="174" fontId="3" fillId="0" borderId="0" xfId="0" applyNumberFormat="1" applyFont="1" applyAlignment="1">
      <alignment/>
    </xf>
    <xf numFmtId="174" fontId="3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/>
    </xf>
    <xf numFmtId="174" fontId="10" fillId="0" borderId="10" xfId="0" applyNumberFormat="1" applyFont="1" applyFill="1" applyBorder="1" applyAlignment="1">
      <alignment horizontal="left" vertical="center" wrapText="1"/>
    </xf>
    <xf numFmtId="174" fontId="10" fillId="0" borderId="13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174" fontId="22" fillId="0" borderId="0" xfId="0" applyNumberFormat="1" applyFont="1" applyFill="1" applyAlignment="1">
      <alignment horizontal="center" vertical="center"/>
    </xf>
    <xf numFmtId="174" fontId="22" fillId="0" borderId="0" xfId="0" applyNumberFormat="1" applyFont="1" applyFill="1" applyAlignment="1">
      <alignment/>
    </xf>
    <xf numFmtId="174" fontId="10" fillId="0" borderId="0" xfId="0" applyNumberFormat="1" applyFont="1" applyFill="1" applyAlignment="1">
      <alignment/>
    </xf>
    <xf numFmtId="174" fontId="10" fillId="0" borderId="10" xfId="0" applyNumberFormat="1" applyFont="1" applyFill="1" applyBorder="1" applyAlignment="1">
      <alignment horizontal="right"/>
    </xf>
    <xf numFmtId="174" fontId="31" fillId="0" borderId="24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left" vertical="top" wrapText="1"/>
    </xf>
    <xf numFmtId="3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10" fillId="35" borderId="23" xfId="0" applyNumberFormat="1" applyFont="1" applyFill="1" applyBorder="1" applyAlignment="1">
      <alignment horizontal="center" vertical="center" wrapText="1"/>
    </xf>
    <xf numFmtId="174" fontId="10" fillId="35" borderId="23" xfId="0" applyNumberFormat="1" applyFont="1" applyFill="1" applyBorder="1" applyAlignment="1">
      <alignment horizontal="center" wrapText="1"/>
    </xf>
    <xf numFmtId="174" fontId="10" fillId="0" borderId="10" xfId="0" applyNumberFormat="1" applyFont="1" applyFill="1" applyBorder="1" applyAlignment="1">
      <alignment horizontal="right" wrapText="1"/>
    </xf>
    <xf numFmtId="2" fontId="10" fillId="35" borderId="23" xfId="0" applyNumberFormat="1" applyFont="1" applyFill="1" applyBorder="1" applyAlignment="1">
      <alignment horizontal="center" wrapText="1"/>
    </xf>
    <xf numFmtId="174" fontId="10" fillId="0" borderId="23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178" fontId="10" fillId="0" borderId="1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Alignment="1">
      <alignment vertical="top" wrapText="1"/>
    </xf>
    <xf numFmtId="178" fontId="3" fillId="0" borderId="0" xfId="0" applyNumberFormat="1" applyFont="1" applyAlignment="1">
      <alignment/>
    </xf>
    <xf numFmtId="174" fontId="7" fillId="0" borderId="13" xfId="0" applyNumberFormat="1" applyFont="1" applyFill="1" applyBorder="1" applyAlignment="1">
      <alignment horizontal="left" vertical="center" wrapText="1"/>
    </xf>
    <xf numFmtId="174" fontId="7" fillId="0" borderId="25" xfId="0" applyNumberFormat="1" applyFont="1" applyFill="1" applyBorder="1" applyAlignment="1">
      <alignment horizontal="left" vertical="center" wrapText="1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4" fontId="10" fillId="0" borderId="25" xfId="0" applyNumberFormat="1" applyFont="1" applyFill="1" applyBorder="1" applyAlignment="1">
      <alignment horizontal="center" wrapText="1"/>
    </xf>
    <xf numFmtId="174" fontId="10" fillId="0" borderId="14" xfId="0" applyNumberFormat="1" applyFont="1" applyFill="1" applyBorder="1" applyAlignment="1">
      <alignment horizontal="center" wrapText="1"/>
    </xf>
    <xf numFmtId="174" fontId="10" fillId="0" borderId="27" xfId="0" applyNumberFormat="1" applyFont="1" applyFill="1" applyBorder="1" applyAlignment="1">
      <alignment horizontal="center" vertical="center" wrapText="1"/>
    </xf>
    <xf numFmtId="174" fontId="10" fillId="0" borderId="28" xfId="0" applyNumberFormat="1" applyFont="1" applyFill="1" applyBorder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10" fillId="0" borderId="13" xfId="0" applyNumberFormat="1" applyFont="1" applyFill="1" applyBorder="1" applyAlignment="1">
      <alignment horizontal="center" vertical="center" wrapText="1"/>
    </xf>
    <xf numFmtId="174" fontId="10" fillId="0" borderId="25" xfId="0" applyNumberFormat="1" applyFont="1" applyFill="1" applyBorder="1" applyAlignment="1">
      <alignment horizontal="center" vertical="center" wrapText="1"/>
    </xf>
    <xf numFmtId="174" fontId="10" fillId="0" borderId="14" xfId="0" applyNumberFormat="1" applyFont="1" applyFill="1" applyBorder="1" applyAlignment="1">
      <alignment horizontal="center" vertical="center" wrapText="1"/>
    </xf>
    <xf numFmtId="174" fontId="10" fillId="0" borderId="29" xfId="0" applyNumberFormat="1" applyFont="1" applyFill="1" applyBorder="1" applyAlignment="1">
      <alignment horizontal="center" vertical="center" wrapText="1"/>
    </xf>
    <xf numFmtId="174" fontId="10" fillId="0" borderId="30" xfId="0" applyNumberFormat="1" applyFont="1" applyFill="1" applyBorder="1" applyAlignment="1">
      <alignment horizontal="center" vertical="center" wrapText="1"/>
    </xf>
    <xf numFmtId="174" fontId="10" fillId="0" borderId="31" xfId="0" applyNumberFormat="1" applyFont="1" applyFill="1" applyBorder="1" applyAlignment="1">
      <alignment horizontal="center" vertical="center" wrapText="1"/>
    </xf>
    <xf numFmtId="174" fontId="10" fillId="0" borderId="32" xfId="0" applyNumberFormat="1" applyFont="1" applyFill="1" applyBorder="1" applyAlignment="1">
      <alignment horizontal="center" vertical="center" wrapText="1"/>
    </xf>
    <xf numFmtId="174" fontId="3" fillId="0" borderId="24" xfId="0" applyNumberFormat="1" applyFont="1" applyFill="1" applyBorder="1" applyAlignment="1">
      <alignment horizontal="left" vertical="center" wrapText="1"/>
    </xf>
    <xf numFmtId="174" fontId="11" fillId="34" borderId="26" xfId="0" applyNumberFormat="1" applyFont="1" applyFill="1" applyBorder="1" applyAlignment="1">
      <alignment horizontal="center" vertical="center" wrapText="1"/>
    </xf>
    <xf numFmtId="174" fontId="11" fillId="34" borderId="33" xfId="0" applyNumberFormat="1" applyFont="1" applyFill="1" applyBorder="1" applyAlignment="1">
      <alignment horizontal="center" vertical="center" wrapText="1"/>
    </xf>
    <xf numFmtId="174" fontId="11" fillId="34" borderId="34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174" fontId="11" fillId="34" borderId="35" xfId="0" applyNumberFormat="1" applyFont="1" applyFill="1" applyBorder="1" applyAlignment="1">
      <alignment horizontal="center" vertical="center" wrapText="1"/>
    </xf>
    <xf numFmtId="174" fontId="11" fillId="34" borderId="36" xfId="0" applyNumberFormat="1" applyFont="1" applyFill="1" applyBorder="1" applyAlignment="1">
      <alignment horizontal="center" vertical="center" wrapText="1"/>
    </xf>
    <xf numFmtId="174" fontId="11" fillId="34" borderId="1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4" fontId="20" fillId="0" borderId="38" xfId="0" applyNumberFormat="1" applyFont="1" applyFill="1" applyBorder="1" applyAlignment="1">
      <alignment horizontal="center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174" fontId="11" fillId="34" borderId="39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174" fontId="11" fillId="34" borderId="15" xfId="0" applyNumberFormat="1" applyFont="1" applyFill="1" applyBorder="1" applyAlignment="1">
      <alignment horizontal="center" vertical="center" wrapText="1"/>
    </xf>
    <xf numFmtId="174" fontId="11" fillId="34" borderId="16" xfId="0" applyNumberFormat="1" applyFont="1" applyFill="1" applyBorder="1" applyAlignment="1">
      <alignment horizontal="center" vertical="center" wrapText="1"/>
    </xf>
    <xf numFmtId="174" fontId="11" fillId="34" borderId="14" xfId="0" applyNumberFormat="1" applyFont="1" applyFill="1" applyBorder="1" applyAlignment="1">
      <alignment horizontal="center" vertical="center" wrapText="1"/>
    </xf>
    <xf numFmtId="174" fontId="8" fillId="34" borderId="13" xfId="0" applyNumberFormat="1" applyFont="1" applyFill="1" applyBorder="1" applyAlignment="1">
      <alignment horizontal="center" vertical="center" wrapText="1"/>
    </xf>
    <xf numFmtId="174" fontId="8" fillId="34" borderId="15" xfId="0" applyNumberFormat="1" applyFont="1" applyFill="1" applyBorder="1" applyAlignment="1">
      <alignment horizontal="center" vertical="center" wrapText="1"/>
    </xf>
    <xf numFmtId="174" fontId="8" fillId="34" borderId="14" xfId="0" applyNumberFormat="1" applyFont="1" applyFill="1" applyBorder="1" applyAlignment="1">
      <alignment horizontal="center" vertical="center" wrapText="1"/>
    </xf>
    <xf numFmtId="174" fontId="14" fillId="0" borderId="0" xfId="0" applyNumberFormat="1" applyFont="1" applyFill="1" applyAlignment="1">
      <alignment horizontal="center" vertical="center" wrapText="1"/>
    </xf>
    <xf numFmtId="174" fontId="8" fillId="34" borderId="16" xfId="0" applyNumberFormat="1" applyFont="1" applyFill="1" applyBorder="1" applyAlignment="1">
      <alignment horizontal="center" vertical="center" wrapText="1"/>
    </xf>
    <xf numFmtId="174" fontId="11" fillId="34" borderId="25" xfId="0" applyNumberFormat="1" applyFont="1" applyFill="1" applyBorder="1" applyAlignment="1">
      <alignment horizontal="center" vertical="center" wrapText="1"/>
    </xf>
    <xf numFmtId="174" fontId="11" fillId="34" borderId="27" xfId="0" applyNumberFormat="1" applyFont="1" applyFill="1" applyBorder="1" applyAlignment="1">
      <alignment horizontal="center" vertical="center" wrapText="1"/>
    </xf>
    <xf numFmtId="174" fontId="11" fillId="34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174" fontId="10" fillId="0" borderId="0" xfId="0" applyNumberFormat="1" applyFont="1" applyAlignment="1">
      <alignment horizontal="left" wrapText="1"/>
    </xf>
    <xf numFmtId="2" fontId="10" fillId="0" borderId="10" xfId="0" applyNumberFormat="1" applyFont="1" applyFill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50"/>
  <sheetViews>
    <sheetView zoomScale="87" zoomScaleNormal="87" zoomScaleSheetLayoutView="70" zoomScalePageLayoutView="0" workbookViewId="0" topLeftCell="B1">
      <selection activeCell="B8" sqref="B8"/>
    </sheetView>
  </sheetViews>
  <sheetFormatPr defaultColWidth="9.8515625" defaultRowHeight="15"/>
  <cols>
    <col min="1" max="1" width="7.00390625" style="1" customWidth="1"/>
    <col min="2" max="2" width="49.421875" style="2" customWidth="1"/>
    <col min="3" max="3" width="17.28125" style="2" customWidth="1"/>
    <col min="4" max="4" width="12.7109375" style="1" customWidth="1"/>
    <col min="5" max="5" width="15.140625" style="1" customWidth="1"/>
    <col min="6" max="6" width="10.7109375" style="1" customWidth="1"/>
    <col min="7" max="8" width="13.28125" style="2" customWidth="1"/>
    <col min="9" max="16384" width="9.8515625" style="2" customWidth="1"/>
  </cols>
  <sheetData>
    <row r="1" spans="1:213" s="4" customFormat="1" ht="55.5" customHeight="1">
      <c r="A1" s="217" t="s">
        <v>45</v>
      </c>
      <c r="B1" s="217"/>
      <c r="C1" s="217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213" s="4" customFormat="1" ht="18.75">
      <c r="A2" s="4" t="s">
        <v>46</v>
      </c>
      <c r="B2" s="14"/>
      <c r="C2" s="14"/>
      <c r="D2" s="14"/>
      <c r="E2" s="14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2:213" s="4" customFormat="1" ht="18.75">
      <c r="B3" s="27" t="s">
        <v>26</v>
      </c>
      <c r="C3" s="2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</row>
    <row r="4" spans="1:213" s="4" customFormat="1" ht="18.75" customHeight="1">
      <c r="A4" s="218" t="s">
        <v>1</v>
      </c>
      <c r="B4" s="219" t="s">
        <v>0</v>
      </c>
      <c r="C4" s="214" t="s">
        <v>42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</row>
    <row r="5" spans="1:213" s="4" customFormat="1" ht="19.5" customHeight="1">
      <c r="A5" s="218"/>
      <c r="B5" s="219"/>
      <c r="C5" s="219" t="s">
        <v>31</v>
      </c>
      <c r="D5" s="219"/>
      <c r="E5" s="219"/>
      <c r="F5" s="216" t="s">
        <v>37</v>
      </c>
      <c r="G5" s="216"/>
      <c r="H5" s="216"/>
      <c r="I5" s="216"/>
      <c r="J5" s="216" t="s">
        <v>38</v>
      </c>
      <c r="K5" s="216"/>
      <c r="L5" s="216"/>
      <c r="M5" s="216" t="s">
        <v>39</v>
      </c>
      <c r="N5" s="216"/>
      <c r="O5" s="216"/>
      <c r="P5" s="216" t="s">
        <v>40</v>
      </c>
      <c r="Q5" s="216"/>
      <c r="R5" s="21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</row>
    <row r="6" spans="1:213" s="4" customFormat="1" ht="133.5" customHeight="1">
      <c r="A6" s="218"/>
      <c r="B6" s="219"/>
      <c r="C6" s="219"/>
      <c r="D6" s="30" t="s">
        <v>35</v>
      </c>
      <c r="E6" s="30" t="s">
        <v>36</v>
      </c>
      <c r="F6" s="22" t="s">
        <v>34</v>
      </c>
      <c r="G6" s="22" t="s">
        <v>48</v>
      </c>
      <c r="H6" s="22" t="s">
        <v>47</v>
      </c>
      <c r="I6" s="22" t="s">
        <v>49</v>
      </c>
      <c r="J6" s="22" t="s">
        <v>34</v>
      </c>
      <c r="K6" s="22" t="s">
        <v>35</v>
      </c>
      <c r="L6" s="22" t="s">
        <v>36</v>
      </c>
      <c r="M6" s="22" t="s">
        <v>34</v>
      </c>
      <c r="N6" s="22" t="s">
        <v>35</v>
      </c>
      <c r="O6" s="22" t="s">
        <v>36</v>
      </c>
      <c r="P6" s="22" t="s">
        <v>34</v>
      </c>
      <c r="Q6" s="22" t="s">
        <v>35</v>
      </c>
      <c r="R6" s="22" t="s">
        <v>36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</row>
    <row r="7" spans="1:18" s="3" customFormat="1" ht="16.5" customHeight="1">
      <c r="A7" s="26">
        <v>1</v>
      </c>
      <c r="B7" s="26">
        <v>2</v>
      </c>
      <c r="C7" s="26">
        <v>3</v>
      </c>
      <c r="D7" s="26">
        <v>7</v>
      </c>
      <c r="E7" s="26">
        <v>8</v>
      </c>
      <c r="F7" s="26">
        <v>9</v>
      </c>
      <c r="G7" s="26">
        <v>10</v>
      </c>
      <c r="H7" s="26"/>
      <c r="I7" s="26">
        <v>11</v>
      </c>
      <c r="J7" s="26">
        <v>12</v>
      </c>
      <c r="K7" s="26">
        <v>13</v>
      </c>
      <c r="L7" s="26">
        <v>14</v>
      </c>
      <c r="M7" s="26">
        <v>15</v>
      </c>
      <c r="N7" s="26">
        <v>16</v>
      </c>
      <c r="O7" s="26">
        <v>17</v>
      </c>
      <c r="P7" s="26">
        <v>18</v>
      </c>
      <c r="Q7" s="26">
        <v>19</v>
      </c>
      <c r="R7" s="26">
        <v>20</v>
      </c>
    </row>
    <row r="8" spans="1:18" s="13" customFormat="1" ht="29.25" customHeight="1">
      <c r="A8" s="5" t="s">
        <v>41</v>
      </c>
      <c r="B8" s="31" t="s">
        <v>32</v>
      </c>
      <c r="C8" s="28" t="e">
        <f>C9+C10+C11+C12+C13+C14+C15+C16+C17+C18+C19+C20+C21+C22+C23</f>
        <v>#REF!</v>
      </c>
      <c r="D8" s="28" t="e">
        <f>D9+D10+D11+D12+D13+D14+D15+D16+D17+D18+D19+D20+D21+D22+D23</f>
        <v>#REF!</v>
      </c>
      <c r="E8" s="28" t="e">
        <f>E9+E10+E11+E12+E13+E14+E15+E16+E17+E18+E19+E20+E21+E22+E23</f>
        <v>#REF!</v>
      </c>
      <c r="F8" s="23">
        <f>SUM(G8:H8)</f>
        <v>0</v>
      </c>
      <c r="G8" s="24"/>
      <c r="H8" s="24"/>
      <c r="I8" s="24"/>
      <c r="J8" s="23">
        <f>K8+L8</f>
        <v>0</v>
      </c>
      <c r="K8" s="24"/>
      <c r="L8" s="24"/>
      <c r="M8" s="23">
        <f>N8+O8</f>
        <v>0</v>
      </c>
      <c r="N8" s="24"/>
      <c r="O8" s="24"/>
      <c r="P8" s="23">
        <f>Q8+R8</f>
        <v>0</v>
      </c>
      <c r="Q8" s="24"/>
      <c r="R8" s="24"/>
    </row>
    <row r="9" spans="1:18" s="3" customFormat="1" ht="18.75">
      <c r="A9" s="5">
        <v>1</v>
      </c>
      <c r="B9" s="32" t="s">
        <v>33</v>
      </c>
      <c r="C9" s="29" t="e">
        <f>#REF!+#REF!+#REF!</f>
        <v>#REF!</v>
      </c>
      <c r="D9" s="29" t="e">
        <f>G9+K9+N9+Q9+#REF!+#REF!+#REF!+#REF!+#REF!+#REF!</f>
        <v>#REF!</v>
      </c>
      <c r="E9" s="29" t="e">
        <f>I9+L9+O9+R9+#REF!+#REF!+#REF!+#REF!+#REF!+#REF!+#REF!</f>
        <v>#REF!</v>
      </c>
      <c r="F9" s="23">
        <f aca="true" t="shared" si="0" ref="F9:F23">SUM(G9:H9)</f>
        <v>0</v>
      </c>
      <c r="G9" s="25"/>
      <c r="H9" s="25"/>
      <c r="I9" s="25"/>
      <c r="J9" s="23">
        <f aca="true" t="shared" si="1" ref="J9:J23">K9+L9</f>
        <v>0</v>
      </c>
      <c r="K9" s="25"/>
      <c r="L9" s="25"/>
      <c r="M9" s="23">
        <f aca="true" t="shared" si="2" ref="M9:M23">N9+O9</f>
        <v>0</v>
      </c>
      <c r="N9" s="25"/>
      <c r="O9" s="25"/>
      <c r="P9" s="23">
        <f aca="true" t="shared" si="3" ref="P9:P23">Q9+R9</f>
        <v>0</v>
      </c>
      <c r="Q9" s="25"/>
      <c r="R9" s="25"/>
    </row>
    <row r="10" spans="1:18" s="3" customFormat="1" ht="18.75" customHeight="1">
      <c r="A10" s="5">
        <v>2</v>
      </c>
      <c r="B10" s="32" t="s">
        <v>33</v>
      </c>
      <c r="C10" s="29" t="e">
        <f>#REF!+#REF!+#REF!</f>
        <v>#REF!</v>
      </c>
      <c r="D10" s="29" t="e">
        <f>G10+K10+N10+Q10+#REF!+#REF!+#REF!+#REF!+#REF!+#REF!</f>
        <v>#REF!</v>
      </c>
      <c r="E10" s="29" t="e">
        <f>I10+L10+O10+R10+#REF!+#REF!+#REF!+#REF!+#REF!+#REF!+#REF!</f>
        <v>#REF!</v>
      </c>
      <c r="F10" s="23">
        <f t="shared" si="0"/>
        <v>0</v>
      </c>
      <c r="G10" s="25"/>
      <c r="H10" s="25"/>
      <c r="I10" s="25"/>
      <c r="J10" s="23">
        <f t="shared" si="1"/>
        <v>0</v>
      </c>
      <c r="K10" s="25"/>
      <c r="L10" s="25"/>
      <c r="M10" s="23">
        <f t="shared" si="2"/>
        <v>0</v>
      </c>
      <c r="N10" s="25"/>
      <c r="O10" s="25"/>
      <c r="P10" s="23">
        <f t="shared" si="3"/>
        <v>0</v>
      </c>
      <c r="Q10" s="25"/>
      <c r="R10" s="25"/>
    </row>
    <row r="11" spans="1:18" s="3" customFormat="1" ht="18.75">
      <c r="A11" s="5">
        <v>3</v>
      </c>
      <c r="B11" s="32" t="s">
        <v>33</v>
      </c>
      <c r="C11" s="29" t="e">
        <f>#REF!+#REF!+#REF!</f>
        <v>#REF!</v>
      </c>
      <c r="D11" s="29" t="e">
        <f>G11+K11+N11+Q11+#REF!+#REF!+#REF!+#REF!+#REF!+#REF!</f>
        <v>#REF!</v>
      </c>
      <c r="E11" s="29" t="e">
        <f>I11+L11+O11+R11+#REF!+#REF!+#REF!+#REF!+#REF!+#REF!+#REF!</f>
        <v>#REF!</v>
      </c>
      <c r="F11" s="23">
        <f t="shared" si="0"/>
        <v>0</v>
      </c>
      <c r="G11" s="25"/>
      <c r="H11" s="25"/>
      <c r="I11" s="25"/>
      <c r="J11" s="23">
        <f t="shared" si="1"/>
        <v>0</v>
      </c>
      <c r="K11" s="25"/>
      <c r="L11" s="25"/>
      <c r="M11" s="23">
        <f t="shared" si="2"/>
        <v>0</v>
      </c>
      <c r="N11" s="25"/>
      <c r="O11" s="25"/>
      <c r="P11" s="23">
        <f t="shared" si="3"/>
        <v>0</v>
      </c>
      <c r="Q11" s="25"/>
      <c r="R11" s="25"/>
    </row>
    <row r="12" spans="1:18" s="3" customFormat="1" ht="18.75">
      <c r="A12" s="5">
        <v>4</v>
      </c>
      <c r="B12" s="32" t="s">
        <v>33</v>
      </c>
      <c r="C12" s="29" t="e">
        <f>#REF!+#REF!+#REF!</f>
        <v>#REF!</v>
      </c>
      <c r="D12" s="29" t="e">
        <f>G12+K12+N12+Q12+#REF!+#REF!+#REF!+#REF!+#REF!+#REF!</f>
        <v>#REF!</v>
      </c>
      <c r="E12" s="29" t="e">
        <f>I12+L12+O12+R12+#REF!+#REF!+#REF!+#REF!+#REF!+#REF!+#REF!</f>
        <v>#REF!</v>
      </c>
      <c r="F12" s="23">
        <f t="shared" si="0"/>
        <v>0</v>
      </c>
      <c r="G12" s="25"/>
      <c r="H12" s="25"/>
      <c r="I12" s="25"/>
      <c r="J12" s="23">
        <f t="shared" si="1"/>
        <v>0</v>
      </c>
      <c r="K12" s="25"/>
      <c r="L12" s="25"/>
      <c r="M12" s="23">
        <f t="shared" si="2"/>
        <v>0</v>
      </c>
      <c r="N12" s="25"/>
      <c r="O12" s="25"/>
      <c r="P12" s="23">
        <f t="shared" si="3"/>
        <v>0</v>
      </c>
      <c r="Q12" s="25"/>
      <c r="R12" s="25"/>
    </row>
    <row r="13" spans="1:18" s="3" customFormat="1" ht="18.75">
      <c r="A13" s="5">
        <v>5</v>
      </c>
      <c r="B13" s="32" t="s">
        <v>33</v>
      </c>
      <c r="C13" s="29" t="e">
        <f>#REF!+#REF!+#REF!</f>
        <v>#REF!</v>
      </c>
      <c r="D13" s="29" t="e">
        <f>G13+K13+N13+Q13+#REF!+#REF!+#REF!+#REF!+#REF!+#REF!</f>
        <v>#REF!</v>
      </c>
      <c r="E13" s="29" t="e">
        <f>I13+L13+O13+R13+#REF!+#REF!+#REF!+#REF!+#REF!+#REF!+#REF!</f>
        <v>#REF!</v>
      </c>
      <c r="F13" s="23">
        <f t="shared" si="0"/>
        <v>0</v>
      </c>
      <c r="G13" s="25"/>
      <c r="H13" s="25"/>
      <c r="I13" s="25"/>
      <c r="J13" s="23">
        <f t="shared" si="1"/>
        <v>0</v>
      </c>
      <c r="K13" s="25"/>
      <c r="L13" s="25"/>
      <c r="M13" s="23">
        <f t="shared" si="2"/>
        <v>0</v>
      </c>
      <c r="N13" s="25"/>
      <c r="O13" s="25"/>
      <c r="P13" s="23">
        <f t="shared" si="3"/>
        <v>0</v>
      </c>
      <c r="Q13" s="25"/>
      <c r="R13" s="25"/>
    </row>
    <row r="14" spans="1:18" s="3" customFormat="1" ht="18.75">
      <c r="A14" s="5">
        <v>6</v>
      </c>
      <c r="B14" s="32" t="s">
        <v>33</v>
      </c>
      <c r="C14" s="29" t="e">
        <f>#REF!+#REF!+#REF!</f>
        <v>#REF!</v>
      </c>
      <c r="D14" s="29" t="e">
        <f>G14+K14+N14+Q14+#REF!+#REF!+#REF!+#REF!+#REF!+#REF!</f>
        <v>#REF!</v>
      </c>
      <c r="E14" s="29" t="e">
        <f>I14+L14+O14+R14+#REF!+#REF!+#REF!+#REF!+#REF!+#REF!+#REF!</f>
        <v>#REF!</v>
      </c>
      <c r="F14" s="23">
        <f t="shared" si="0"/>
        <v>0</v>
      </c>
      <c r="G14" s="25"/>
      <c r="H14" s="25"/>
      <c r="I14" s="25"/>
      <c r="J14" s="23">
        <f t="shared" si="1"/>
        <v>0</v>
      </c>
      <c r="K14" s="25"/>
      <c r="L14" s="25"/>
      <c r="M14" s="23">
        <f t="shared" si="2"/>
        <v>0</v>
      </c>
      <c r="N14" s="25"/>
      <c r="O14" s="25"/>
      <c r="P14" s="23">
        <f t="shared" si="3"/>
        <v>0</v>
      </c>
      <c r="Q14" s="25"/>
      <c r="R14" s="25"/>
    </row>
    <row r="15" spans="1:18" s="3" customFormat="1" ht="18.75">
      <c r="A15" s="5">
        <v>7</v>
      </c>
      <c r="B15" s="32" t="s">
        <v>33</v>
      </c>
      <c r="C15" s="29" t="e">
        <f>#REF!+#REF!+#REF!</f>
        <v>#REF!</v>
      </c>
      <c r="D15" s="29" t="e">
        <f>G15+K15+N15+Q15+#REF!+#REF!+#REF!+#REF!+#REF!+#REF!</f>
        <v>#REF!</v>
      </c>
      <c r="E15" s="29" t="e">
        <f>I15+L15+O15+R15+#REF!+#REF!+#REF!+#REF!+#REF!+#REF!+#REF!</f>
        <v>#REF!</v>
      </c>
      <c r="F15" s="23">
        <f t="shared" si="0"/>
        <v>0</v>
      </c>
      <c r="G15" s="25"/>
      <c r="H15" s="25"/>
      <c r="I15" s="25"/>
      <c r="J15" s="23">
        <f t="shared" si="1"/>
        <v>0</v>
      </c>
      <c r="K15" s="25"/>
      <c r="L15" s="25"/>
      <c r="M15" s="23">
        <f t="shared" si="2"/>
        <v>0</v>
      </c>
      <c r="N15" s="25"/>
      <c r="O15" s="25"/>
      <c r="P15" s="23">
        <f t="shared" si="3"/>
        <v>0</v>
      </c>
      <c r="Q15" s="25"/>
      <c r="R15" s="25"/>
    </row>
    <row r="16" spans="1:18" s="3" customFormat="1" ht="18.75">
      <c r="A16" s="5">
        <v>8</v>
      </c>
      <c r="B16" s="32" t="s">
        <v>33</v>
      </c>
      <c r="C16" s="29" t="e">
        <f>#REF!+#REF!+#REF!</f>
        <v>#REF!</v>
      </c>
      <c r="D16" s="29" t="e">
        <f>G16+K16+N16+Q16+#REF!+#REF!+#REF!+#REF!+#REF!+#REF!</f>
        <v>#REF!</v>
      </c>
      <c r="E16" s="29" t="e">
        <f>I16+L16+O16+R16+#REF!+#REF!+#REF!+#REF!+#REF!+#REF!+#REF!</f>
        <v>#REF!</v>
      </c>
      <c r="F16" s="23">
        <f t="shared" si="0"/>
        <v>0</v>
      </c>
      <c r="G16" s="25"/>
      <c r="H16" s="25"/>
      <c r="I16" s="25"/>
      <c r="J16" s="23">
        <f t="shared" si="1"/>
        <v>0</v>
      </c>
      <c r="K16" s="25"/>
      <c r="L16" s="25"/>
      <c r="M16" s="23">
        <f t="shared" si="2"/>
        <v>0</v>
      </c>
      <c r="N16" s="25"/>
      <c r="O16" s="25"/>
      <c r="P16" s="23">
        <f t="shared" si="3"/>
        <v>0</v>
      </c>
      <c r="Q16" s="25"/>
      <c r="R16" s="25"/>
    </row>
    <row r="17" spans="1:18" s="3" customFormat="1" ht="18.75">
      <c r="A17" s="5">
        <v>9</v>
      </c>
      <c r="B17" s="32" t="s">
        <v>33</v>
      </c>
      <c r="C17" s="29" t="e">
        <f>#REF!+#REF!+#REF!</f>
        <v>#REF!</v>
      </c>
      <c r="D17" s="29" t="e">
        <f>G17+K17+N17+Q17+#REF!+#REF!+#REF!+#REF!+#REF!+#REF!</f>
        <v>#REF!</v>
      </c>
      <c r="E17" s="29" t="e">
        <f>I17+L17+O17+R17+#REF!+#REF!+#REF!+#REF!+#REF!+#REF!+#REF!</f>
        <v>#REF!</v>
      </c>
      <c r="F17" s="23">
        <f t="shared" si="0"/>
        <v>0</v>
      </c>
      <c r="G17" s="25"/>
      <c r="H17" s="25"/>
      <c r="I17" s="25"/>
      <c r="J17" s="23">
        <f t="shared" si="1"/>
        <v>0</v>
      </c>
      <c r="K17" s="25"/>
      <c r="L17" s="25"/>
      <c r="M17" s="23">
        <f t="shared" si="2"/>
        <v>0</v>
      </c>
      <c r="N17" s="25"/>
      <c r="O17" s="25"/>
      <c r="P17" s="23">
        <f t="shared" si="3"/>
        <v>0</v>
      </c>
      <c r="Q17" s="25"/>
      <c r="R17" s="25"/>
    </row>
    <row r="18" spans="1:18" s="3" customFormat="1" ht="18.75" customHeight="1">
      <c r="A18" s="5">
        <v>10</v>
      </c>
      <c r="B18" s="32" t="s">
        <v>33</v>
      </c>
      <c r="C18" s="29" t="e">
        <f>#REF!+#REF!+#REF!</f>
        <v>#REF!</v>
      </c>
      <c r="D18" s="29" t="e">
        <f>G18+K18+N18+Q18+#REF!+#REF!+#REF!+#REF!+#REF!+#REF!</f>
        <v>#REF!</v>
      </c>
      <c r="E18" s="29" t="e">
        <f>I18+L18+O18+R18+#REF!+#REF!+#REF!+#REF!+#REF!+#REF!+#REF!</f>
        <v>#REF!</v>
      </c>
      <c r="F18" s="23">
        <f t="shared" si="0"/>
        <v>0</v>
      </c>
      <c r="G18" s="25"/>
      <c r="H18" s="25"/>
      <c r="I18" s="25"/>
      <c r="J18" s="23">
        <f t="shared" si="1"/>
        <v>0</v>
      </c>
      <c r="K18" s="25"/>
      <c r="L18" s="25"/>
      <c r="M18" s="23">
        <f t="shared" si="2"/>
        <v>0</v>
      </c>
      <c r="N18" s="25"/>
      <c r="O18" s="25"/>
      <c r="P18" s="23">
        <f t="shared" si="3"/>
        <v>0</v>
      </c>
      <c r="Q18" s="25"/>
      <c r="R18" s="25"/>
    </row>
    <row r="19" spans="1:18" s="3" customFormat="1" ht="18.75">
      <c r="A19" s="5">
        <v>11</v>
      </c>
      <c r="B19" s="32" t="s">
        <v>33</v>
      </c>
      <c r="C19" s="29" t="e">
        <f>#REF!+#REF!+#REF!</f>
        <v>#REF!</v>
      </c>
      <c r="D19" s="29" t="e">
        <f>G19+K19+N19+Q19+#REF!+#REF!+#REF!+#REF!+#REF!+#REF!</f>
        <v>#REF!</v>
      </c>
      <c r="E19" s="29" t="e">
        <f>I19+L19+O19+R19+#REF!+#REF!+#REF!+#REF!+#REF!+#REF!+#REF!</f>
        <v>#REF!</v>
      </c>
      <c r="F19" s="23">
        <f t="shared" si="0"/>
        <v>0</v>
      </c>
      <c r="G19" s="25"/>
      <c r="H19" s="25"/>
      <c r="I19" s="25"/>
      <c r="J19" s="23">
        <f t="shared" si="1"/>
        <v>0</v>
      </c>
      <c r="K19" s="25"/>
      <c r="L19" s="25"/>
      <c r="M19" s="23">
        <f t="shared" si="2"/>
        <v>0</v>
      </c>
      <c r="N19" s="25"/>
      <c r="O19" s="25"/>
      <c r="P19" s="23">
        <f t="shared" si="3"/>
        <v>0</v>
      </c>
      <c r="Q19" s="25"/>
      <c r="R19" s="25"/>
    </row>
    <row r="20" spans="1:18" s="3" customFormat="1" ht="18.75" customHeight="1">
      <c r="A20" s="5">
        <v>12</v>
      </c>
      <c r="B20" s="32" t="s">
        <v>33</v>
      </c>
      <c r="C20" s="29" t="e">
        <f>#REF!+#REF!+#REF!</f>
        <v>#REF!</v>
      </c>
      <c r="D20" s="29" t="e">
        <f>G20+K20+N20+Q20+#REF!+#REF!+#REF!+#REF!+#REF!+#REF!</f>
        <v>#REF!</v>
      </c>
      <c r="E20" s="29" t="e">
        <f>I20+L20+O20+R20+#REF!+#REF!+#REF!+#REF!+#REF!+#REF!+#REF!</f>
        <v>#REF!</v>
      </c>
      <c r="F20" s="23">
        <f t="shared" si="0"/>
        <v>0</v>
      </c>
      <c r="G20" s="25"/>
      <c r="H20" s="25"/>
      <c r="I20" s="25"/>
      <c r="J20" s="23">
        <f t="shared" si="1"/>
        <v>0</v>
      </c>
      <c r="K20" s="25"/>
      <c r="L20" s="25"/>
      <c r="M20" s="23">
        <f t="shared" si="2"/>
        <v>0</v>
      </c>
      <c r="N20" s="25"/>
      <c r="O20" s="25"/>
      <c r="P20" s="23">
        <f t="shared" si="3"/>
        <v>0</v>
      </c>
      <c r="Q20" s="25"/>
      <c r="R20" s="25"/>
    </row>
    <row r="21" spans="1:18" s="3" customFormat="1" ht="18.75">
      <c r="A21" s="5">
        <v>13</v>
      </c>
      <c r="B21" s="32" t="s">
        <v>33</v>
      </c>
      <c r="C21" s="29" t="e">
        <f>#REF!+#REF!+#REF!</f>
        <v>#REF!</v>
      </c>
      <c r="D21" s="29" t="e">
        <f>G21+K21+N21+Q21+#REF!+#REF!+#REF!+#REF!+#REF!+#REF!</f>
        <v>#REF!</v>
      </c>
      <c r="E21" s="29" t="e">
        <f>I21+L21+O21+R21+#REF!+#REF!+#REF!+#REF!+#REF!+#REF!+#REF!</f>
        <v>#REF!</v>
      </c>
      <c r="F21" s="23">
        <f t="shared" si="0"/>
        <v>0</v>
      </c>
      <c r="G21" s="25"/>
      <c r="H21" s="25"/>
      <c r="I21" s="25"/>
      <c r="J21" s="23">
        <f t="shared" si="1"/>
        <v>0</v>
      </c>
      <c r="K21" s="25"/>
      <c r="L21" s="25"/>
      <c r="M21" s="23">
        <f t="shared" si="2"/>
        <v>0</v>
      </c>
      <c r="N21" s="25"/>
      <c r="O21" s="25"/>
      <c r="P21" s="23">
        <f t="shared" si="3"/>
        <v>0</v>
      </c>
      <c r="Q21" s="25"/>
      <c r="R21" s="25"/>
    </row>
    <row r="22" spans="1:18" s="3" customFormat="1" ht="18.75" customHeight="1">
      <c r="A22" s="5">
        <v>14</v>
      </c>
      <c r="B22" s="32" t="s">
        <v>33</v>
      </c>
      <c r="C22" s="29" t="e">
        <f>#REF!+#REF!+#REF!</f>
        <v>#REF!</v>
      </c>
      <c r="D22" s="29" t="e">
        <f>G22+K22+N22+Q22+#REF!+#REF!+#REF!+#REF!+#REF!+#REF!</f>
        <v>#REF!</v>
      </c>
      <c r="E22" s="29" t="e">
        <f>I22+L22+O22+R22+#REF!+#REF!+#REF!+#REF!+#REF!+#REF!+#REF!</f>
        <v>#REF!</v>
      </c>
      <c r="F22" s="23">
        <f t="shared" si="0"/>
        <v>0</v>
      </c>
      <c r="G22" s="25"/>
      <c r="H22" s="25"/>
      <c r="I22" s="25"/>
      <c r="J22" s="23">
        <f t="shared" si="1"/>
        <v>0</v>
      </c>
      <c r="K22" s="25"/>
      <c r="L22" s="25"/>
      <c r="M22" s="23">
        <f t="shared" si="2"/>
        <v>0</v>
      </c>
      <c r="N22" s="25"/>
      <c r="O22" s="25"/>
      <c r="P22" s="23">
        <f t="shared" si="3"/>
        <v>0</v>
      </c>
      <c r="Q22" s="25"/>
      <c r="R22" s="25"/>
    </row>
    <row r="23" spans="1:18" s="13" customFormat="1" ht="18.75">
      <c r="A23" s="5">
        <v>15</v>
      </c>
      <c r="B23" s="32" t="s">
        <v>33</v>
      </c>
      <c r="C23" s="29" t="e">
        <f>#REF!+#REF!+#REF!</f>
        <v>#REF!</v>
      </c>
      <c r="D23" s="29" t="e">
        <f>G23+K23+N23+Q23+#REF!+#REF!+#REF!+#REF!+#REF!+#REF!</f>
        <v>#REF!</v>
      </c>
      <c r="E23" s="29" t="e">
        <f>I23+L23+O23+R23+#REF!+#REF!+#REF!+#REF!+#REF!+#REF!+#REF!</f>
        <v>#REF!</v>
      </c>
      <c r="F23" s="23">
        <f t="shared" si="0"/>
        <v>0</v>
      </c>
      <c r="G23" s="24"/>
      <c r="H23" s="24"/>
      <c r="I23" s="24"/>
      <c r="J23" s="23">
        <f t="shared" si="1"/>
        <v>0</v>
      </c>
      <c r="K23" s="24"/>
      <c r="L23" s="24"/>
      <c r="M23" s="23">
        <f t="shared" si="2"/>
        <v>0</v>
      </c>
      <c r="N23" s="24"/>
      <c r="O23" s="24"/>
      <c r="P23" s="23">
        <f t="shared" si="3"/>
        <v>0</v>
      </c>
      <c r="Q23" s="24"/>
      <c r="R23" s="24"/>
    </row>
    <row r="24" spans="1:6" s="13" customFormat="1" ht="18.75" hidden="1">
      <c r="A24" s="16" t="s">
        <v>4</v>
      </c>
      <c r="B24" s="17" t="s">
        <v>7</v>
      </c>
      <c r="C24" s="15"/>
      <c r="D24" s="19"/>
      <c r="E24" s="19"/>
      <c r="F24" s="19"/>
    </row>
    <row r="25" spans="1:6" s="3" customFormat="1" ht="18.75" hidden="1">
      <c r="A25" s="9">
        <v>1</v>
      </c>
      <c r="B25" s="7" t="s">
        <v>8</v>
      </c>
      <c r="C25" s="12"/>
      <c r="D25" s="20"/>
      <c r="E25" s="20"/>
      <c r="F25" s="20"/>
    </row>
    <row r="26" spans="1:6" s="3" customFormat="1" ht="18.75" hidden="1">
      <c r="A26" s="9">
        <v>2</v>
      </c>
      <c r="B26" s="7" t="s">
        <v>9</v>
      </c>
      <c r="C26" s="10"/>
      <c r="D26" s="21"/>
      <c r="E26" s="21"/>
      <c r="F26" s="21"/>
    </row>
    <row r="27" spans="1:6" s="3" customFormat="1" ht="18.75" hidden="1">
      <c r="A27" s="9">
        <v>3</v>
      </c>
      <c r="B27" s="7" t="s">
        <v>10</v>
      </c>
      <c r="C27" s="10"/>
      <c r="D27" s="21"/>
      <c r="E27" s="21"/>
      <c r="F27" s="21"/>
    </row>
    <row r="28" spans="1:6" s="3" customFormat="1" ht="37.5" hidden="1">
      <c r="A28" s="9">
        <v>4</v>
      </c>
      <c r="B28" s="7" t="s">
        <v>11</v>
      </c>
      <c r="C28" s="10"/>
      <c r="D28" s="21"/>
      <c r="E28" s="21"/>
      <c r="F28" s="21"/>
    </row>
    <row r="29" spans="1:6" s="3" customFormat="1" ht="18.75" hidden="1">
      <c r="A29" s="9">
        <v>5</v>
      </c>
      <c r="B29" s="7" t="s">
        <v>13</v>
      </c>
      <c r="C29" s="10"/>
      <c r="D29" s="21"/>
      <c r="E29" s="21"/>
      <c r="F29" s="21"/>
    </row>
    <row r="30" spans="1:6" s="3" customFormat="1" ht="18.75" hidden="1">
      <c r="A30" s="9">
        <v>6</v>
      </c>
      <c r="B30" s="7" t="s">
        <v>14</v>
      </c>
      <c r="C30" s="10"/>
      <c r="D30" s="21"/>
      <c r="E30" s="21"/>
      <c r="F30" s="21"/>
    </row>
    <row r="31" spans="1:6" s="3" customFormat="1" ht="18.75" hidden="1">
      <c r="A31" s="9">
        <v>7</v>
      </c>
      <c r="B31" s="7" t="s">
        <v>15</v>
      </c>
      <c r="C31" s="10"/>
      <c r="D31" s="21"/>
      <c r="E31" s="21"/>
      <c r="F31" s="21"/>
    </row>
    <row r="32" spans="1:6" s="3" customFormat="1" ht="18.75" hidden="1">
      <c r="A32" s="9">
        <v>8</v>
      </c>
      <c r="B32" s="7" t="s">
        <v>16</v>
      </c>
      <c r="C32" s="10"/>
      <c r="D32" s="21"/>
      <c r="E32" s="21"/>
      <c r="F32" s="21"/>
    </row>
    <row r="33" spans="1:6" s="3" customFormat="1" ht="18.75" hidden="1">
      <c r="A33" s="9">
        <v>9</v>
      </c>
      <c r="B33" s="7" t="s">
        <v>17</v>
      </c>
      <c r="C33" s="10"/>
      <c r="D33" s="21"/>
      <c r="E33" s="21"/>
      <c r="F33" s="21"/>
    </row>
    <row r="34" spans="1:6" s="3" customFormat="1" ht="18.75" hidden="1">
      <c r="A34" s="9">
        <v>10</v>
      </c>
      <c r="B34" s="7" t="s">
        <v>12</v>
      </c>
      <c r="C34" s="10"/>
      <c r="D34" s="21"/>
      <c r="E34" s="21"/>
      <c r="F34" s="21"/>
    </row>
    <row r="35" spans="1:6" s="3" customFormat="1" ht="18.75" hidden="1">
      <c r="A35" s="9">
        <v>11</v>
      </c>
      <c r="B35" s="7" t="s">
        <v>18</v>
      </c>
      <c r="C35" s="10"/>
      <c r="D35" s="21"/>
      <c r="E35" s="21"/>
      <c r="F35" s="21"/>
    </row>
    <row r="36" spans="1:6" s="3" customFormat="1" ht="18.75" hidden="1">
      <c r="A36" s="9">
        <v>12</v>
      </c>
      <c r="B36" s="7" t="s">
        <v>19</v>
      </c>
      <c r="C36" s="10"/>
      <c r="D36" s="21"/>
      <c r="E36" s="21"/>
      <c r="F36" s="21"/>
    </row>
    <row r="37" spans="1:6" s="3" customFormat="1" ht="18.75" hidden="1">
      <c r="A37" s="9">
        <v>13</v>
      </c>
      <c r="B37" s="7" t="s">
        <v>20</v>
      </c>
      <c r="C37" s="10"/>
      <c r="D37" s="21"/>
      <c r="E37" s="21"/>
      <c r="F37" s="21"/>
    </row>
    <row r="38" spans="1:6" s="3" customFormat="1" ht="18.75" hidden="1">
      <c r="A38" s="9">
        <v>14</v>
      </c>
      <c r="B38" s="7" t="s">
        <v>21</v>
      </c>
      <c r="C38" s="10"/>
      <c r="D38" s="21"/>
      <c r="E38" s="21"/>
      <c r="F38" s="21"/>
    </row>
    <row r="39" spans="1:6" s="3" customFormat="1" ht="18.75" hidden="1">
      <c r="A39" s="9">
        <v>15</v>
      </c>
      <c r="B39" s="7" t="s">
        <v>22</v>
      </c>
      <c r="C39" s="10"/>
      <c r="D39" s="21"/>
      <c r="E39" s="21"/>
      <c r="F39" s="21"/>
    </row>
    <row r="40" spans="1:6" s="3" customFormat="1" ht="18.75" hidden="1">
      <c r="A40" s="9">
        <v>16</v>
      </c>
      <c r="B40" s="7" t="s">
        <v>23</v>
      </c>
      <c r="C40" s="10"/>
      <c r="D40" s="21"/>
      <c r="E40" s="21"/>
      <c r="F40" s="21"/>
    </row>
    <row r="41" spans="1:6" s="3" customFormat="1" ht="18.75" hidden="1">
      <c r="A41" s="9">
        <v>17</v>
      </c>
      <c r="B41" s="7" t="s">
        <v>24</v>
      </c>
      <c r="C41" s="10"/>
      <c r="D41" s="21"/>
      <c r="E41" s="21"/>
      <c r="F41" s="21"/>
    </row>
    <row r="42" spans="1:6" s="3" customFormat="1" ht="18.75" hidden="1">
      <c r="A42" s="9">
        <v>18</v>
      </c>
      <c r="B42" s="7" t="s">
        <v>25</v>
      </c>
      <c r="C42" s="10"/>
      <c r="D42" s="21"/>
      <c r="E42" s="21"/>
      <c r="F42" s="21"/>
    </row>
    <row r="43" spans="1:6" s="3" customFormat="1" ht="37.5" hidden="1">
      <c r="A43" s="5" t="s">
        <v>2</v>
      </c>
      <c r="B43" s="8" t="s">
        <v>5</v>
      </c>
      <c r="C43" s="11"/>
      <c r="D43" s="19"/>
      <c r="E43" s="19"/>
      <c r="F43" s="19"/>
    </row>
    <row r="44" spans="1:6" s="3" customFormat="1" ht="37.5" hidden="1">
      <c r="A44" s="5" t="s">
        <v>3</v>
      </c>
      <c r="B44" s="6" t="s">
        <v>6</v>
      </c>
      <c r="C44" s="11"/>
      <c r="D44" s="19"/>
      <c r="E44" s="19"/>
      <c r="F44" s="19"/>
    </row>
    <row r="45" spans="1:6" s="3" customFormat="1" ht="18.75" hidden="1">
      <c r="A45" s="5" t="s">
        <v>29</v>
      </c>
      <c r="B45" s="6" t="s">
        <v>27</v>
      </c>
      <c r="C45" s="11"/>
      <c r="D45" s="19"/>
      <c r="E45" s="19"/>
      <c r="F45" s="19"/>
    </row>
    <row r="46" spans="1:6" s="3" customFormat="1" ht="18.75" hidden="1">
      <c r="A46" s="5" t="s">
        <v>30</v>
      </c>
      <c r="B46" s="6" t="s">
        <v>28</v>
      </c>
      <c r="C46" s="10"/>
      <c r="D46" s="21"/>
      <c r="E46" s="21"/>
      <c r="F46" s="21"/>
    </row>
    <row r="48" ht="18.75">
      <c r="B48" s="33" t="s">
        <v>44</v>
      </c>
    </row>
    <row r="49" ht="18.75">
      <c r="B49" s="33"/>
    </row>
    <row r="50" ht="18.75">
      <c r="B50" s="33" t="s">
        <v>43</v>
      </c>
    </row>
  </sheetData>
  <sheetProtection/>
  <mergeCells count="10">
    <mergeCell ref="C4:R4"/>
    <mergeCell ref="F5:I5"/>
    <mergeCell ref="A1:C1"/>
    <mergeCell ref="A4:A6"/>
    <mergeCell ref="C5:C6"/>
    <mergeCell ref="D5:E5"/>
    <mergeCell ref="B4:B6"/>
    <mergeCell ref="J5:L5"/>
    <mergeCell ref="M5:O5"/>
    <mergeCell ref="P5:R5"/>
  </mergeCells>
  <printOptions horizontalCentered="1"/>
  <pageMargins left="0" right="0" top="0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34"/>
  <sheetViews>
    <sheetView showZeros="0" tabSelected="1" view="pageBreakPreview" zoomScaleNormal="70" zoomScaleSheetLayoutView="100" zoomScalePageLayoutView="0" workbookViewId="0" topLeftCell="B7">
      <selection activeCell="C11" sqref="C11"/>
    </sheetView>
  </sheetViews>
  <sheetFormatPr defaultColWidth="9.140625" defaultRowHeight="15" outlineLevelCol="1"/>
  <cols>
    <col min="1" max="1" width="7.00390625" style="183" hidden="1" customWidth="1"/>
    <col min="2" max="2" width="95.8515625" style="184" customWidth="1"/>
    <col min="3" max="3" width="16.7109375" style="183" customWidth="1" outlineLevel="1"/>
    <col min="4" max="4" width="24.8515625" style="183" customWidth="1" outlineLevel="1"/>
    <col min="5" max="5" width="17.140625" style="183" customWidth="1" outlineLevel="1"/>
    <col min="6" max="6" width="26.28125" style="183" customWidth="1" outlineLevel="1"/>
    <col min="7" max="7" width="23.421875" style="183" customWidth="1" outlineLevel="1"/>
    <col min="8" max="8" width="29.7109375" style="183" customWidth="1" outlineLevel="1"/>
    <col min="9" max="9" width="0.13671875" style="183" customWidth="1" outlineLevel="1"/>
    <col min="10" max="10" width="18.00390625" style="183" hidden="1" customWidth="1" outlineLevel="1"/>
    <col min="11" max="11" width="20.421875" style="183" hidden="1" customWidth="1" outlineLevel="1"/>
    <col min="12" max="12" width="11.421875" style="178" customWidth="1" collapsed="1"/>
    <col min="13" max="13" width="32.7109375" style="178" customWidth="1"/>
    <col min="14" max="16384" width="9.140625" style="178" customWidth="1"/>
  </cols>
  <sheetData>
    <row r="1" ht="15.75">
      <c r="F1" s="183" t="s">
        <v>59</v>
      </c>
    </row>
    <row r="2" spans="6:8" ht="126.75" customHeight="1">
      <c r="F2" s="265" t="s">
        <v>164</v>
      </c>
      <c r="G2" s="265"/>
      <c r="H2" s="265"/>
    </row>
    <row r="3" spans="7:8" ht="33.75" customHeight="1">
      <c r="G3" s="208"/>
      <c r="H3" s="208"/>
    </row>
    <row r="4" spans="2:170" s="209" customFormat="1" ht="33" customHeight="1">
      <c r="B4" s="264" t="s">
        <v>162</v>
      </c>
      <c r="C4" s="264"/>
      <c r="D4" s="264"/>
      <c r="E4" s="264"/>
      <c r="F4" s="264"/>
      <c r="G4" s="264"/>
      <c r="H4" s="264"/>
      <c r="I4" s="264"/>
      <c r="J4" s="264"/>
      <c r="K4" s="264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</row>
    <row r="5" spans="1:170" s="185" customFormat="1" ht="23.25" customHeight="1" thickBot="1">
      <c r="A5" s="34" t="s">
        <v>59</v>
      </c>
      <c r="B5" s="182"/>
      <c r="C5" s="180"/>
      <c r="D5" s="180"/>
      <c r="E5" s="179"/>
      <c r="F5" s="179"/>
      <c r="G5" s="179"/>
      <c r="H5" s="179" t="s">
        <v>148</v>
      </c>
      <c r="I5" s="179"/>
      <c r="J5" s="179"/>
      <c r="K5" s="179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</row>
    <row r="6" spans="1:134" s="185" customFormat="1" ht="21" customHeight="1">
      <c r="A6" s="220"/>
      <c r="B6" s="224" t="s">
        <v>151</v>
      </c>
      <c r="C6" s="222"/>
      <c r="D6" s="222"/>
      <c r="E6" s="222"/>
      <c r="F6" s="222"/>
      <c r="G6" s="222"/>
      <c r="H6" s="222"/>
      <c r="I6" s="222"/>
      <c r="J6" s="222"/>
      <c r="K6" s="223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</row>
    <row r="7" spans="1:134" s="185" customFormat="1" ht="19.5" customHeight="1">
      <c r="A7" s="221"/>
      <c r="B7" s="225"/>
      <c r="C7" s="224" t="s">
        <v>161</v>
      </c>
      <c r="D7" s="187" t="s">
        <v>143</v>
      </c>
      <c r="E7" s="227" t="s">
        <v>158</v>
      </c>
      <c r="F7" s="187" t="s">
        <v>143</v>
      </c>
      <c r="G7" s="227" t="s">
        <v>160</v>
      </c>
      <c r="H7" s="228" t="s">
        <v>143</v>
      </c>
      <c r="I7" s="229"/>
      <c r="J7" s="229"/>
      <c r="K7" s="230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</row>
    <row r="8" spans="1:134" s="185" customFormat="1" ht="47.25" customHeight="1">
      <c r="A8" s="221"/>
      <c r="B8" s="225"/>
      <c r="C8" s="225"/>
      <c r="D8" s="224" t="s">
        <v>157</v>
      </c>
      <c r="E8" s="225"/>
      <c r="F8" s="227" t="s">
        <v>163</v>
      </c>
      <c r="G8" s="227"/>
      <c r="H8" s="227" t="s">
        <v>159</v>
      </c>
      <c r="I8" s="227" t="s">
        <v>146</v>
      </c>
      <c r="J8" s="231" t="s">
        <v>145</v>
      </c>
      <c r="K8" s="232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</row>
    <row r="9" spans="1:134" s="185" customFormat="1" ht="60.75" customHeight="1">
      <c r="A9" s="221"/>
      <c r="B9" s="225"/>
      <c r="C9" s="225"/>
      <c r="D9" s="225"/>
      <c r="E9" s="225"/>
      <c r="F9" s="227"/>
      <c r="G9" s="227"/>
      <c r="H9" s="227"/>
      <c r="I9" s="227"/>
      <c r="J9" s="233"/>
      <c r="K9" s="234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</row>
    <row r="10" spans="1:134" s="185" customFormat="1" ht="84.75" customHeight="1">
      <c r="A10" s="221"/>
      <c r="B10" s="226"/>
      <c r="C10" s="226"/>
      <c r="D10" s="226"/>
      <c r="E10" s="226"/>
      <c r="F10" s="227"/>
      <c r="G10" s="227"/>
      <c r="H10" s="227"/>
      <c r="I10" s="227"/>
      <c r="J10" s="188" t="s">
        <v>147</v>
      </c>
      <c r="K10" s="188" t="s">
        <v>144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</row>
    <row r="11" spans="1:134" s="192" customFormat="1" ht="36" customHeight="1">
      <c r="A11" s="189"/>
      <c r="B11" s="200" t="s">
        <v>64</v>
      </c>
      <c r="C11" s="211">
        <f aca="true" t="shared" si="0" ref="C11:H11">SUM(C12:C20)</f>
        <v>1978362.4213199997</v>
      </c>
      <c r="D11" s="211">
        <f t="shared" si="0"/>
        <v>12840.19698</v>
      </c>
      <c r="E11" s="211">
        <f t="shared" si="0"/>
        <v>722090.27868</v>
      </c>
      <c r="F11" s="211">
        <f t="shared" si="0"/>
        <v>4294.71505</v>
      </c>
      <c r="G11" s="211">
        <f t="shared" si="0"/>
        <v>2700452.7</v>
      </c>
      <c r="H11" s="211">
        <f t="shared" si="0"/>
        <v>17134.91203</v>
      </c>
      <c r="I11" s="202" t="e">
        <f>#REF!+#REF!+#REF!</f>
        <v>#REF!</v>
      </c>
      <c r="J11" s="202" t="e">
        <f>#REF!+#REF!+#REF!</f>
        <v>#REF!</v>
      </c>
      <c r="K11" s="202" t="e">
        <f>#REF!+#REF!+#REF!</f>
        <v>#REF!</v>
      </c>
      <c r="L11" s="190"/>
      <c r="M11" s="191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</row>
    <row r="12" spans="1:11" s="193" customFormat="1" ht="39.75" customHeight="1">
      <c r="A12" s="203" t="s">
        <v>41</v>
      </c>
      <c r="B12" s="186" t="s">
        <v>149</v>
      </c>
      <c r="C12" s="211">
        <f>33719.38188+235087.4497-0.00038</f>
        <v>268806.8312</v>
      </c>
      <c r="D12" s="211">
        <v>0</v>
      </c>
      <c r="E12" s="211">
        <f>94742.84152+11354.20848+1677.00012</f>
        <v>107774.05012</v>
      </c>
      <c r="F12" s="211">
        <v>0</v>
      </c>
      <c r="G12" s="211">
        <f aca="true" t="shared" si="1" ref="G12:G20">C12+E12</f>
        <v>376580.88132000004</v>
      </c>
      <c r="H12" s="201">
        <v>0</v>
      </c>
      <c r="I12" s="202" t="e">
        <f>SUM(#REF!)</f>
        <v>#REF!</v>
      </c>
      <c r="J12" s="202" t="e">
        <f>SUM(#REF!)</f>
        <v>#REF!</v>
      </c>
      <c r="K12" s="202" t="e">
        <f>SUM(#REF!)</f>
        <v>#REF!</v>
      </c>
    </row>
    <row r="13" spans="1:11" s="194" customFormat="1" ht="38.25" customHeight="1">
      <c r="A13" s="204" t="s">
        <v>76</v>
      </c>
      <c r="B13" s="186" t="s">
        <v>150</v>
      </c>
      <c r="C13" s="211">
        <f>427544.73932+62802.8002-38.51289</f>
        <v>490309.02663</v>
      </c>
      <c r="D13" s="211">
        <f>4219.31563+630.48437</f>
        <v>4849.8</v>
      </c>
      <c r="E13" s="211">
        <f>144520.98376+19293.56549-530.62126</f>
        <v>163283.92799</v>
      </c>
      <c r="F13" s="211">
        <f>1454.9</f>
        <v>1454.9</v>
      </c>
      <c r="G13" s="211">
        <f t="shared" si="1"/>
        <v>653592.95462</v>
      </c>
      <c r="H13" s="211">
        <f>D13+F13</f>
        <v>6304.700000000001</v>
      </c>
      <c r="I13" s="205" t="e">
        <f>SUM(#REF!)</f>
        <v>#REF!</v>
      </c>
      <c r="J13" s="205" t="e">
        <f>SUM(#REF!)</f>
        <v>#REF!</v>
      </c>
      <c r="K13" s="205" t="e">
        <f>SUM(#REF!)</f>
        <v>#REF!</v>
      </c>
    </row>
    <row r="14" spans="1:11" s="195" customFormat="1" ht="41.25" customHeight="1">
      <c r="A14" s="204" t="s">
        <v>4</v>
      </c>
      <c r="B14" s="186" t="s">
        <v>165</v>
      </c>
      <c r="C14" s="211">
        <f>679887.63096+101481.27134</f>
        <v>781368.9023</v>
      </c>
      <c r="D14" s="211">
        <f>4795.181+716.5213</f>
        <v>5511.7023</v>
      </c>
      <c r="E14" s="211">
        <f>259966.71101+31039.76274</f>
        <v>291006.47375</v>
      </c>
      <c r="F14" s="211">
        <f>1945.72496</f>
        <v>1945.72496</v>
      </c>
      <c r="G14" s="211">
        <f t="shared" si="1"/>
        <v>1072375.37605</v>
      </c>
      <c r="H14" s="211">
        <f>F14+D14</f>
        <v>7457.42726</v>
      </c>
      <c r="I14" s="205" t="e">
        <f>SUM(#REF!)</f>
        <v>#REF!</v>
      </c>
      <c r="J14" s="205" t="e">
        <f>SUM(#REF!)</f>
        <v>#REF!</v>
      </c>
      <c r="K14" s="205" t="e">
        <f>SUM(#REF!)</f>
        <v>#REF!</v>
      </c>
    </row>
    <row r="15" spans="1:11" ht="41.25" customHeight="1">
      <c r="A15" s="206" t="s">
        <v>2</v>
      </c>
      <c r="B15" s="266" t="s">
        <v>166</v>
      </c>
      <c r="C15" s="211">
        <f>136209.34563+20328.69674</f>
        <v>156538.04236999998</v>
      </c>
      <c r="D15" s="211">
        <f>2156.4644+322.23028</f>
        <v>2478.6946799999996</v>
      </c>
      <c r="E15" s="211">
        <f>53902.89845+6378.82254</f>
        <v>60281.72099</v>
      </c>
      <c r="F15" s="211">
        <f>894.09009</f>
        <v>894.09009</v>
      </c>
      <c r="G15" s="267">
        <f t="shared" si="1"/>
        <v>216819.76335999998</v>
      </c>
      <c r="H15" s="267">
        <f>D15+F15</f>
        <v>3372.7847699999998</v>
      </c>
      <c r="I15" s="196" t="e">
        <f>#REF!+#REF!</f>
        <v>#REF!</v>
      </c>
      <c r="J15" s="196" t="e">
        <f>#REF!+#REF!</f>
        <v>#REF!</v>
      </c>
      <c r="K15" s="196" t="e">
        <f>#REF!+#REF!</f>
        <v>#REF!</v>
      </c>
    </row>
    <row r="16" spans="1:11" ht="39.75" customHeight="1">
      <c r="A16" s="206" t="s">
        <v>3</v>
      </c>
      <c r="B16" s="266" t="s">
        <v>152</v>
      </c>
      <c r="C16" s="211">
        <f>152603.2+22802.8+19451.5+2784.48223</f>
        <v>197641.98223</v>
      </c>
      <c r="D16" s="211">
        <v>0</v>
      </c>
      <c r="E16" s="211">
        <f>52622.5+9809.5+9182.19399+1767.53823+0.00038</f>
        <v>73381.7326</v>
      </c>
      <c r="F16" s="211">
        <v>0</v>
      </c>
      <c r="G16" s="267">
        <f t="shared" si="1"/>
        <v>271023.71483</v>
      </c>
      <c r="H16" s="267">
        <v>0</v>
      </c>
      <c r="I16" s="196" t="e">
        <f>#REF!+#REF!</f>
        <v>#REF!</v>
      </c>
      <c r="J16" s="196" t="e">
        <f>#REF!+#REF!</f>
        <v>#REF!</v>
      </c>
      <c r="K16" s="196" t="e">
        <f>#REF!+#REF!</f>
        <v>#REF!</v>
      </c>
    </row>
    <row r="17" spans="1:170" ht="30.75" customHeight="1">
      <c r="A17" s="203" t="s">
        <v>41</v>
      </c>
      <c r="B17" s="186" t="s">
        <v>153</v>
      </c>
      <c r="C17" s="211">
        <f>5229.68906+764.41094</f>
        <v>5994.099999999999</v>
      </c>
      <c r="D17" s="211">
        <v>0</v>
      </c>
      <c r="E17" s="211">
        <f>1803.08048</f>
        <v>1803.08048</v>
      </c>
      <c r="F17" s="211">
        <v>0</v>
      </c>
      <c r="G17" s="211">
        <f t="shared" si="1"/>
        <v>7797.180479999999</v>
      </c>
      <c r="H17" s="211">
        <v>0</v>
      </c>
      <c r="I17" s="202" t="e">
        <f>#REF!+#REF!</f>
        <v>#REF!</v>
      </c>
      <c r="J17" s="202" t="e">
        <f>#REF!+#REF!</f>
        <v>#REF!</v>
      </c>
      <c r="K17" s="202" t="e">
        <f>#REF!+#REF!</f>
        <v>#REF!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</row>
    <row r="18" spans="1:170" ht="32.25" customHeight="1">
      <c r="A18" s="207"/>
      <c r="B18" s="186" t="s">
        <v>154</v>
      </c>
      <c r="C18" s="211">
        <f>4718.54428+686.83897</f>
        <v>5405.38325</v>
      </c>
      <c r="D18" s="211">
        <v>0</v>
      </c>
      <c r="E18" s="211">
        <f>1575.24553+10.47122</f>
        <v>1585.7167499999998</v>
      </c>
      <c r="F18" s="211">
        <v>0</v>
      </c>
      <c r="G18" s="211">
        <f t="shared" si="1"/>
        <v>6991.099999999999</v>
      </c>
      <c r="H18" s="211">
        <v>0</v>
      </c>
      <c r="I18" s="202" t="e">
        <f>#REF!+#REF!</f>
        <v>#REF!</v>
      </c>
      <c r="J18" s="202" t="e">
        <f>#REF!+#REF!</f>
        <v>#REF!</v>
      </c>
      <c r="K18" s="202" t="e">
        <f>#REF!+#REF!</f>
        <v>#REF!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</row>
    <row r="19" spans="1:11" ht="39" customHeight="1">
      <c r="A19" s="206" t="s">
        <v>30</v>
      </c>
      <c r="B19" s="266" t="s">
        <v>155</v>
      </c>
      <c r="C19" s="211">
        <f>22217.62775+3292.27225</f>
        <v>25509.9</v>
      </c>
      <c r="D19" s="211">
        <v>0</v>
      </c>
      <c r="E19" s="211">
        <f>8311.03158+626.06842</f>
        <v>8937.1</v>
      </c>
      <c r="F19" s="211">
        <v>0</v>
      </c>
      <c r="G19" s="267">
        <f t="shared" si="1"/>
        <v>34447</v>
      </c>
      <c r="H19" s="267">
        <v>0</v>
      </c>
      <c r="I19" s="196" t="e">
        <f>#REF!+#REF!</f>
        <v>#REF!</v>
      </c>
      <c r="J19" s="196" t="e">
        <f>#REF!+#REF!</f>
        <v>#REF!</v>
      </c>
      <c r="K19" s="196" t="e">
        <f>#REF!+#REF!</f>
        <v>#REF!</v>
      </c>
    </row>
    <row r="20" spans="1:11" ht="42" customHeight="1">
      <c r="A20" s="206" t="s">
        <v>30</v>
      </c>
      <c r="B20" s="266" t="s">
        <v>156</v>
      </c>
      <c r="C20" s="211">
        <f>40705.83761+6082.41573</f>
        <v>46788.25334</v>
      </c>
      <c r="D20" s="211">
        <v>0</v>
      </c>
      <c r="E20" s="211">
        <f>14036.476</f>
        <v>14036.476</v>
      </c>
      <c r="F20" s="211">
        <v>0</v>
      </c>
      <c r="G20" s="267">
        <f t="shared" si="1"/>
        <v>60824.729340000005</v>
      </c>
      <c r="H20" s="267">
        <v>0</v>
      </c>
      <c r="I20" s="196" t="e">
        <f>#REF!+#REF!</f>
        <v>#REF!</v>
      </c>
      <c r="J20" s="196" t="e">
        <f>#REF!+#REF!</f>
        <v>#REF!</v>
      </c>
      <c r="K20" s="196" t="e">
        <f>#REF!+#REF!</f>
        <v>#REF!</v>
      </c>
    </row>
    <row r="21" spans="2:11" ht="14.25" customHeight="1">
      <c r="B21" s="197"/>
      <c r="C21" s="235"/>
      <c r="D21" s="235"/>
      <c r="E21" s="235"/>
      <c r="F21" s="181"/>
      <c r="G21" s="198"/>
      <c r="H21" s="181"/>
      <c r="I21" s="181"/>
      <c r="J21" s="181"/>
      <c r="K21" s="181"/>
    </row>
    <row r="22" spans="2:11" ht="15" customHeight="1">
      <c r="B22" s="199"/>
      <c r="C22" s="181"/>
      <c r="D22" s="181"/>
      <c r="E22" s="181"/>
      <c r="F22" s="181"/>
      <c r="G22" s="181"/>
      <c r="H22" s="181"/>
      <c r="I22" s="181"/>
      <c r="J22" s="181"/>
      <c r="K22" s="181"/>
    </row>
    <row r="23" spans="2:11" ht="15" customHeight="1">
      <c r="B23" s="199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2:11" ht="15" customHeight="1">
      <c r="B24" s="199"/>
      <c r="C24" s="212"/>
      <c r="D24" s="212"/>
      <c r="E24" s="212"/>
      <c r="F24" s="212"/>
      <c r="G24" s="212"/>
      <c r="H24" s="212"/>
      <c r="I24" s="181"/>
      <c r="J24" s="181"/>
      <c r="K24" s="181"/>
    </row>
    <row r="25" spans="2:11" ht="15" customHeight="1">
      <c r="B25" s="199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3:10" ht="15.75">
      <c r="C26" s="213"/>
      <c r="D26" s="213"/>
      <c r="E26" s="213"/>
      <c r="F26" s="213"/>
      <c r="G26" s="213"/>
      <c r="H26" s="213"/>
      <c r="I26" s="181"/>
      <c r="J26" s="181"/>
    </row>
    <row r="32" ht="15.75">
      <c r="G32" s="213"/>
    </row>
    <row r="34" ht="15.75">
      <c r="G34" s="213"/>
    </row>
  </sheetData>
  <sheetProtection/>
  <mergeCells count="15">
    <mergeCell ref="D8:D10"/>
    <mergeCell ref="F8:F10"/>
    <mergeCell ref="H8:H10"/>
    <mergeCell ref="I8:I10"/>
    <mergeCell ref="J8:K9"/>
    <mergeCell ref="C21:E21"/>
    <mergeCell ref="F2:H2"/>
    <mergeCell ref="B4:K4"/>
    <mergeCell ref="A6:A10"/>
    <mergeCell ref="B6:B10"/>
    <mergeCell ref="C6:K6"/>
    <mergeCell ref="C7:C10"/>
    <mergeCell ref="E7:E10"/>
    <mergeCell ref="G7:G10"/>
    <mergeCell ref="H7:K7"/>
  </mergeCells>
  <printOptions horizontalCentered="1"/>
  <pageMargins left="0.7874015748031497" right="0.7874015748031497" top="1.1811023622047245" bottom="0.3937007874015748" header="0.2755905511811024" footer="0.15748031496062992"/>
  <pageSetup blackAndWhite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58"/>
  <sheetViews>
    <sheetView showZeros="0" view="pageBreakPreview" zoomScale="85" zoomScaleNormal="85" zoomScaleSheetLayoutView="85" zoomScalePageLayoutView="0" workbookViewId="0" topLeftCell="A1">
      <pane xSplit="8" ySplit="5" topLeftCell="I6" activePane="bottomRight" state="frozen"/>
      <selection pane="topLeft" activeCell="B1" sqref="B1"/>
      <selection pane="topRight" activeCell="I1" sqref="I1"/>
      <selection pane="bottomLeft" activeCell="B6" sqref="B6"/>
      <selection pane="bottomRight" activeCell="B51" sqref="B51"/>
    </sheetView>
  </sheetViews>
  <sheetFormatPr defaultColWidth="9.8515625" defaultRowHeight="15" outlineLevelRow="1" outlineLevelCol="1"/>
  <cols>
    <col min="1" max="1" width="7.00390625" style="1" hidden="1" customWidth="1"/>
    <col min="2" max="2" width="74.57421875" style="2" customWidth="1"/>
    <col min="3" max="3" width="13.57421875" style="2" customWidth="1" outlineLevel="1"/>
    <col min="4" max="4" width="13.7109375" style="2" customWidth="1" outlineLevel="1"/>
    <col min="5" max="5" width="11.28125" style="2" customWidth="1" outlineLevel="1"/>
    <col min="6" max="6" width="15.421875" style="1" customWidth="1" outlineLevel="1"/>
    <col min="7" max="7" width="13.7109375" style="1" customWidth="1" outlineLevel="1"/>
    <col min="8" max="8" width="14.140625" style="1" customWidth="1" outlineLevel="1"/>
    <col min="9" max="9" width="22.28125" style="2" customWidth="1"/>
    <col min="10" max="10" width="26.140625" style="2" customWidth="1"/>
    <col min="11" max="12" width="8.7109375" style="2" hidden="1" customWidth="1" outlineLevel="1"/>
    <col min="13" max="13" width="10.28125" style="2" hidden="1" customWidth="1" outlineLevel="1"/>
    <col min="14" max="14" width="13.7109375" style="2" hidden="1" customWidth="1" outlineLevel="1"/>
    <col min="15" max="15" width="11.8515625" style="2" hidden="1" customWidth="1" outlineLevel="1"/>
    <col min="16" max="16" width="11.7109375" style="2" hidden="1" customWidth="1" outlineLevel="1"/>
    <col min="17" max="17" width="23.140625" style="2" customWidth="1" collapsed="1"/>
    <col min="18" max="18" width="21.57421875" style="2" customWidth="1"/>
    <col min="19" max="20" width="8.7109375" style="2" hidden="1" customWidth="1" outlineLevel="1"/>
    <col min="21" max="21" width="10.28125" style="2" hidden="1" customWidth="1" outlineLevel="1"/>
    <col min="22" max="22" width="13.7109375" style="2" hidden="1" customWidth="1" outlineLevel="1"/>
    <col min="23" max="23" width="10.57421875" style="2" hidden="1" customWidth="1" outlineLevel="1"/>
    <col min="24" max="24" width="11.140625" style="2" hidden="1" customWidth="1" outlineLevel="1"/>
    <col min="25" max="25" width="22.421875" style="2" customWidth="1" collapsed="1"/>
    <col min="26" max="26" width="22.57421875" style="2" customWidth="1"/>
    <col min="27" max="29" width="8.7109375" style="2" hidden="1" customWidth="1" outlineLevel="1"/>
    <col min="30" max="30" width="14.28125" style="2" hidden="1" customWidth="1" outlineLevel="1"/>
    <col min="31" max="31" width="11.57421875" style="2" hidden="1" customWidth="1" outlineLevel="1"/>
    <col min="32" max="32" width="12.421875" style="2" hidden="1" customWidth="1" outlineLevel="1"/>
    <col min="33" max="33" width="25.57421875" style="2" customWidth="1" collapsed="1"/>
    <col min="34" max="34" width="24.8515625" style="2" customWidth="1"/>
    <col min="35" max="35" width="10.57421875" style="2" hidden="1" customWidth="1" outlineLevel="1"/>
    <col min="36" max="36" width="11.28125" style="2" hidden="1" customWidth="1" outlineLevel="1"/>
    <col min="37" max="37" width="9.140625" style="2" hidden="1" customWidth="1" outlineLevel="1"/>
    <col min="38" max="38" width="12.57421875" style="2" hidden="1" customWidth="1" outlineLevel="1"/>
    <col min="39" max="39" width="11.421875" style="2" hidden="1" customWidth="1" outlineLevel="1"/>
    <col min="40" max="40" width="11.00390625" style="2" hidden="1" customWidth="1" outlineLevel="1"/>
    <col min="41" max="41" width="19.140625" style="2" customWidth="1" collapsed="1"/>
    <col min="42" max="42" width="22.00390625" style="2" customWidth="1"/>
    <col min="43" max="43" width="10.57421875" style="2" hidden="1" customWidth="1" outlineLevel="1"/>
    <col min="44" max="44" width="11.28125" style="2" hidden="1" customWidth="1" outlineLevel="1"/>
    <col min="45" max="45" width="9.140625" style="2" hidden="1" customWidth="1" outlineLevel="1"/>
    <col min="46" max="46" width="12.57421875" style="2" hidden="1" customWidth="1" outlineLevel="1"/>
    <col min="47" max="47" width="11.421875" style="2" hidden="1" customWidth="1" outlineLevel="1"/>
    <col min="48" max="48" width="11.00390625" style="2" hidden="1" customWidth="1" outlineLevel="1"/>
    <col min="49" max="49" width="17.00390625" style="2" customWidth="1" collapsed="1"/>
    <col min="50" max="50" width="22.140625" style="2" customWidth="1"/>
    <col min="51" max="51" width="10.57421875" style="2" hidden="1" customWidth="1" outlineLevel="1"/>
    <col min="52" max="52" width="11.28125" style="2" hidden="1" customWidth="1" outlineLevel="1"/>
    <col min="53" max="53" width="9.140625" style="2" hidden="1" customWidth="1" outlineLevel="1"/>
    <col min="54" max="54" width="12.57421875" style="2" hidden="1" customWidth="1" outlineLevel="1"/>
    <col min="55" max="55" width="11.421875" style="2" hidden="1" customWidth="1" outlineLevel="1"/>
    <col min="56" max="56" width="11.00390625" style="2" hidden="1" customWidth="1" outlineLevel="1"/>
    <col min="57" max="57" width="19.57421875" style="2" customWidth="1" collapsed="1"/>
    <col min="58" max="58" width="25.140625" style="2" customWidth="1"/>
    <col min="59" max="59" width="11.421875" style="2" bestFit="1" customWidth="1"/>
    <col min="60" max="16384" width="9.8515625" style="2" customWidth="1"/>
  </cols>
  <sheetData>
    <row r="1" spans="2:217" s="4" customFormat="1" ht="58.5" customHeight="1">
      <c r="B1" s="217" t="s">
        <v>137</v>
      </c>
      <c r="C1" s="217"/>
      <c r="D1" s="217"/>
      <c r="E1" s="217"/>
      <c r="F1" s="217"/>
      <c r="G1" s="217"/>
      <c r="H1" s="217"/>
      <c r="I1" s="14"/>
      <c r="J1" s="14"/>
      <c r="K1" s="14"/>
      <c r="L1" s="14"/>
      <c r="M1" s="14"/>
      <c r="N1" s="14"/>
      <c r="O1" s="1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217" s="4" customFormat="1" ht="19.5" thickBot="1">
      <c r="A2" s="34" t="s">
        <v>59</v>
      </c>
      <c r="F2" s="18"/>
      <c r="G2" s="18"/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 spans="1:181" s="4" customFormat="1" ht="29.25" customHeight="1">
      <c r="A3" s="245"/>
      <c r="B3" s="247" t="s">
        <v>138</v>
      </c>
      <c r="C3" s="249" t="s">
        <v>135</v>
      </c>
      <c r="D3" s="237"/>
      <c r="E3" s="237"/>
      <c r="F3" s="237"/>
      <c r="G3" s="237"/>
      <c r="H3" s="237"/>
      <c r="I3" s="237"/>
      <c r="J3" s="238"/>
      <c r="K3" s="236" t="s">
        <v>37</v>
      </c>
      <c r="L3" s="237"/>
      <c r="M3" s="237"/>
      <c r="N3" s="237"/>
      <c r="O3" s="237"/>
      <c r="P3" s="237"/>
      <c r="Q3" s="237"/>
      <c r="R3" s="238"/>
      <c r="S3" s="236" t="s">
        <v>38</v>
      </c>
      <c r="T3" s="237"/>
      <c r="U3" s="237"/>
      <c r="V3" s="237"/>
      <c r="W3" s="237"/>
      <c r="X3" s="237"/>
      <c r="Y3" s="237"/>
      <c r="Z3" s="238"/>
      <c r="AA3" s="236" t="s">
        <v>39</v>
      </c>
      <c r="AB3" s="237"/>
      <c r="AC3" s="237"/>
      <c r="AD3" s="237"/>
      <c r="AE3" s="237"/>
      <c r="AF3" s="237"/>
      <c r="AG3" s="237"/>
      <c r="AH3" s="238"/>
      <c r="AI3" s="236" t="s">
        <v>40</v>
      </c>
      <c r="AJ3" s="237"/>
      <c r="AK3" s="237"/>
      <c r="AL3" s="237"/>
      <c r="AM3" s="237"/>
      <c r="AN3" s="237"/>
      <c r="AO3" s="237"/>
      <c r="AP3" s="238"/>
      <c r="AQ3" s="236" t="s">
        <v>133</v>
      </c>
      <c r="AR3" s="237"/>
      <c r="AS3" s="237"/>
      <c r="AT3" s="237"/>
      <c r="AU3" s="237"/>
      <c r="AV3" s="237"/>
      <c r="AW3" s="237"/>
      <c r="AX3" s="238"/>
      <c r="AY3" s="236" t="s">
        <v>134</v>
      </c>
      <c r="AZ3" s="237"/>
      <c r="BA3" s="237"/>
      <c r="BB3" s="237"/>
      <c r="BC3" s="237"/>
      <c r="BD3" s="237"/>
      <c r="BE3" s="237"/>
      <c r="BF3" s="238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</row>
    <row r="4" spans="1:181" s="4" customFormat="1" ht="56.25" customHeight="1">
      <c r="A4" s="246"/>
      <c r="B4" s="248"/>
      <c r="C4" s="219" t="s">
        <v>106</v>
      </c>
      <c r="D4" s="219"/>
      <c r="E4" s="219"/>
      <c r="F4" s="241" t="s">
        <v>107</v>
      </c>
      <c r="G4" s="241" t="s">
        <v>56</v>
      </c>
      <c r="H4" s="241" t="s">
        <v>57</v>
      </c>
      <c r="I4" s="244" t="s">
        <v>58</v>
      </c>
      <c r="J4" s="242" t="s">
        <v>139</v>
      </c>
      <c r="K4" s="240" t="s">
        <v>54</v>
      </c>
      <c r="L4" s="219"/>
      <c r="M4" s="219"/>
      <c r="N4" s="241" t="s">
        <v>107</v>
      </c>
      <c r="O4" s="241" t="s">
        <v>56</v>
      </c>
      <c r="P4" s="241" t="s">
        <v>57</v>
      </c>
      <c r="Q4" s="244" t="s">
        <v>58</v>
      </c>
      <c r="R4" s="242" t="s">
        <v>139</v>
      </c>
      <c r="S4" s="239" t="s">
        <v>54</v>
      </c>
      <c r="T4" s="219"/>
      <c r="U4" s="219"/>
      <c r="V4" s="241" t="s">
        <v>107</v>
      </c>
      <c r="W4" s="241" t="s">
        <v>56</v>
      </c>
      <c r="X4" s="241" t="s">
        <v>57</v>
      </c>
      <c r="Y4" s="244" t="s">
        <v>58</v>
      </c>
      <c r="Z4" s="242" t="s">
        <v>139</v>
      </c>
      <c r="AA4" s="240" t="s">
        <v>54</v>
      </c>
      <c r="AB4" s="219"/>
      <c r="AC4" s="219"/>
      <c r="AD4" s="241" t="s">
        <v>107</v>
      </c>
      <c r="AE4" s="241" t="s">
        <v>56</v>
      </c>
      <c r="AF4" s="241" t="s">
        <v>57</v>
      </c>
      <c r="AG4" s="244" t="s">
        <v>58</v>
      </c>
      <c r="AH4" s="242" t="s">
        <v>139</v>
      </c>
      <c r="AI4" s="239" t="s">
        <v>54</v>
      </c>
      <c r="AJ4" s="219"/>
      <c r="AK4" s="219"/>
      <c r="AL4" s="241" t="s">
        <v>107</v>
      </c>
      <c r="AM4" s="241" t="s">
        <v>56</v>
      </c>
      <c r="AN4" s="241" t="s">
        <v>57</v>
      </c>
      <c r="AO4" s="244" t="s">
        <v>58</v>
      </c>
      <c r="AP4" s="242" t="s">
        <v>139</v>
      </c>
      <c r="AQ4" s="239" t="s">
        <v>54</v>
      </c>
      <c r="AR4" s="219"/>
      <c r="AS4" s="219"/>
      <c r="AT4" s="241" t="s">
        <v>107</v>
      </c>
      <c r="AU4" s="241" t="s">
        <v>56</v>
      </c>
      <c r="AV4" s="241" t="s">
        <v>57</v>
      </c>
      <c r="AW4" s="244" t="s">
        <v>58</v>
      </c>
      <c r="AX4" s="242" t="s">
        <v>139</v>
      </c>
      <c r="AY4" s="239" t="s">
        <v>54</v>
      </c>
      <c r="AZ4" s="219"/>
      <c r="BA4" s="219"/>
      <c r="BB4" s="241" t="s">
        <v>107</v>
      </c>
      <c r="BC4" s="241" t="s">
        <v>56</v>
      </c>
      <c r="BD4" s="241" t="s">
        <v>57</v>
      </c>
      <c r="BE4" s="244" t="s">
        <v>58</v>
      </c>
      <c r="BF4" s="242" t="s">
        <v>139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</row>
    <row r="5" spans="1:181" s="4" customFormat="1" ht="30" customHeight="1">
      <c r="A5" s="246"/>
      <c r="B5" s="248"/>
      <c r="C5" s="30" t="s">
        <v>50</v>
      </c>
      <c r="D5" s="30" t="s">
        <v>51</v>
      </c>
      <c r="E5" s="30" t="s">
        <v>52</v>
      </c>
      <c r="F5" s="241"/>
      <c r="G5" s="241"/>
      <c r="H5" s="241"/>
      <c r="I5" s="244"/>
      <c r="J5" s="243"/>
      <c r="K5" s="115" t="s">
        <v>50</v>
      </c>
      <c r="L5" s="30" t="s">
        <v>51</v>
      </c>
      <c r="M5" s="30" t="s">
        <v>52</v>
      </c>
      <c r="N5" s="241"/>
      <c r="O5" s="241"/>
      <c r="P5" s="241"/>
      <c r="Q5" s="244"/>
      <c r="R5" s="243"/>
      <c r="S5" s="157" t="s">
        <v>50</v>
      </c>
      <c r="T5" s="30" t="s">
        <v>51</v>
      </c>
      <c r="U5" s="30" t="s">
        <v>52</v>
      </c>
      <c r="V5" s="241"/>
      <c r="W5" s="241"/>
      <c r="X5" s="241"/>
      <c r="Y5" s="244"/>
      <c r="Z5" s="243"/>
      <c r="AA5" s="115" t="s">
        <v>50</v>
      </c>
      <c r="AB5" s="30" t="s">
        <v>51</v>
      </c>
      <c r="AC5" s="30" t="s">
        <v>52</v>
      </c>
      <c r="AD5" s="241"/>
      <c r="AE5" s="241"/>
      <c r="AF5" s="241"/>
      <c r="AG5" s="244"/>
      <c r="AH5" s="243"/>
      <c r="AI5" s="157" t="s">
        <v>50</v>
      </c>
      <c r="AJ5" s="30" t="s">
        <v>51</v>
      </c>
      <c r="AK5" s="30" t="s">
        <v>52</v>
      </c>
      <c r="AL5" s="241"/>
      <c r="AM5" s="241"/>
      <c r="AN5" s="241"/>
      <c r="AO5" s="244"/>
      <c r="AP5" s="243"/>
      <c r="AQ5" s="157" t="s">
        <v>50</v>
      </c>
      <c r="AR5" s="30" t="s">
        <v>51</v>
      </c>
      <c r="AS5" s="30" t="s">
        <v>52</v>
      </c>
      <c r="AT5" s="241"/>
      <c r="AU5" s="241"/>
      <c r="AV5" s="241"/>
      <c r="AW5" s="244"/>
      <c r="AX5" s="243"/>
      <c r="AY5" s="157" t="s">
        <v>50</v>
      </c>
      <c r="AZ5" s="30" t="s">
        <v>51</v>
      </c>
      <c r="BA5" s="30" t="s">
        <v>52</v>
      </c>
      <c r="BB5" s="241"/>
      <c r="BC5" s="241"/>
      <c r="BD5" s="241"/>
      <c r="BE5" s="244"/>
      <c r="BF5" s="243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</row>
    <row r="6" spans="1:181" s="4" customFormat="1" ht="30.75" customHeight="1">
      <c r="A6" s="163"/>
      <c r="B6" s="43" t="s">
        <v>64</v>
      </c>
      <c r="C6" s="54">
        <f>C8+C18+C30+C47+C48+C49+C50</f>
        <v>15637.7</v>
      </c>
      <c r="D6" s="54">
        <f>D8+D18+D30+D47+D48+D49+D50</f>
        <v>3046.566</v>
      </c>
      <c r="E6" s="54">
        <f>D6/C6*100</f>
        <v>19.482187278180294</v>
      </c>
      <c r="F6" s="54">
        <f>F8+F18+F30+F47+F48+F49+F50</f>
        <v>3678999.405647769</v>
      </c>
      <c r="G6" s="54">
        <f>G8+G18+G30+G47+G48+G49+G50</f>
        <v>1183136.788356395</v>
      </c>
      <c r="H6" s="54">
        <f>SUM(F6:G6)</f>
        <v>4862136.194004164</v>
      </c>
      <c r="I6" s="125">
        <f>I8+I18+I30+I47+I48+I49+I50</f>
        <v>1054158.8108888888</v>
      </c>
      <c r="J6" s="144">
        <f>J8+J18+J30+J47+J48+J49+J50</f>
        <v>3807977.383115275</v>
      </c>
      <c r="K6" s="116">
        <f>K8+K18+K30+K47+K48+K49+K50</f>
        <v>2535</v>
      </c>
      <c r="L6" s="54">
        <f>L8+L18+L30+L47+L48+L49+L50</f>
        <v>634.242</v>
      </c>
      <c r="M6" s="48">
        <f>_xlfn.IFERROR(L6/K6*100,0)</f>
        <v>25.01940828402367</v>
      </c>
      <c r="N6" s="54">
        <f>N8+N18+N30+N47+N48+N49+N50</f>
        <v>624970.0785</v>
      </c>
      <c r="O6" s="54">
        <f>O8+O18+O30+O47+O48+O49+O50</f>
        <v>200401.98257947693</v>
      </c>
      <c r="P6" s="48">
        <f>SUM(N6:O6)</f>
        <v>825372.0610794768</v>
      </c>
      <c r="Q6" s="125">
        <f>SUM(Q8:Q50)</f>
        <v>171944</v>
      </c>
      <c r="R6" s="144">
        <f>R8+R18+R30+R47+R48+R49+R50</f>
        <v>653428.0610794767</v>
      </c>
      <c r="S6" s="158">
        <f>S8+S18+S30+S47+S48+S49+S50</f>
        <v>2568.9</v>
      </c>
      <c r="T6" s="54">
        <f>T8+T18+T30+T47+T48+T49+T50</f>
        <v>617.8290000000001</v>
      </c>
      <c r="U6" s="48">
        <f>_xlfn.IFERROR(T6/S6*100,0)</f>
        <v>24.05033282728016</v>
      </c>
      <c r="V6" s="54">
        <f>V8+V18+V30+V47+V48+V49+V50</f>
        <v>570888.5199732772</v>
      </c>
      <c r="W6" s="54">
        <f>W8+W18+W30+W47+W48+W49+W50</f>
        <v>181515.68550595353</v>
      </c>
      <c r="X6" s="48">
        <f>SUM(V6:W6)</f>
        <v>752404.2054792307</v>
      </c>
      <c r="Y6" s="125">
        <f>SUM(Y8:Y50)</f>
        <v>3992</v>
      </c>
      <c r="Z6" s="144">
        <f>Z8+Z18+Z30+Z47+Z48+Z49+Z50</f>
        <v>748412.2054792308</v>
      </c>
      <c r="AA6" s="116">
        <f>AA8+AA18+AA30+AA47+AA48+AA49+AA50</f>
        <v>2606</v>
      </c>
      <c r="AB6" s="54">
        <f>AB8+AB18+AB30+AB47+AB48+AB49+AB50</f>
        <v>852.835</v>
      </c>
      <c r="AC6" s="48">
        <f>_xlfn.IFERROR(AB6/AA6*100,0)</f>
        <v>32.725825019186495</v>
      </c>
      <c r="AD6" s="54">
        <f>AD8+AD18+AD30+AD47+AD48+AD49+AD50</f>
        <v>634131.7785292438</v>
      </c>
      <c r="AE6" s="54">
        <f>AE8+AE18+AE30+AE47+AE48+AE49+AE50</f>
        <v>204234.19040634343</v>
      </c>
      <c r="AF6" s="48">
        <f>SUM(AD6:AE6)</f>
        <v>838365.9689355872</v>
      </c>
      <c r="AG6" s="125">
        <f>SUM(AG8:AG50)</f>
        <v>213534.91155555556</v>
      </c>
      <c r="AH6" s="144">
        <f>AH8+AH18+AH30+AH47+AH48+AH49+AH50</f>
        <v>624831.0573800317</v>
      </c>
      <c r="AI6" s="158">
        <f>AI8+AI18+AI30+AI47+AI48+AI49+AI50</f>
        <v>2642.6</v>
      </c>
      <c r="AJ6" s="54">
        <f>AJ8+AJ18+AJ30+AJ47+AJ48+AJ49+AJ50</f>
        <v>941.6600000000001</v>
      </c>
      <c r="AK6" s="48">
        <f>_xlfn.IFERROR(AJ6/AI6*100,0)</f>
        <v>35.633845455233484</v>
      </c>
      <c r="AL6" s="54">
        <f>AL8+AL18+AL30+AL47+AL48+AL49+AL50</f>
        <v>616336.3428817494</v>
      </c>
      <c r="AM6" s="54">
        <f>AM8+AM18+AM30+AM47+AM48+AM49+AM50</f>
        <v>198994.97662154023</v>
      </c>
      <c r="AN6" s="48">
        <f>SUM(AL6:AM6)</f>
        <v>815331.3195032896</v>
      </c>
      <c r="AO6" s="125">
        <f>SUM(AO8:AO50)</f>
        <v>225360.6331111111</v>
      </c>
      <c r="AP6" s="144">
        <f>AP8+AP18+AP30+AP47+AP48+AP49+AP50</f>
        <v>593768.6863921786</v>
      </c>
      <c r="AQ6" s="158">
        <f>AQ8+AQ18+AQ30+AQ47+AQ48+AQ49+AQ50</f>
        <v>2642.6</v>
      </c>
      <c r="AR6" s="54">
        <f>AR8+AR18+AR30+AR47+AR48+AR49+AR50</f>
        <v>941.6600000000001</v>
      </c>
      <c r="AS6" s="48">
        <f>_xlfn.IFERROR(AR6/AQ6*100,0)</f>
        <v>35.633845455233484</v>
      </c>
      <c r="AT6" s="54">
        <f>AT8+AT18+AT30+AT47+AT48+AT49+AT50</f>
        <v>616336.3428817494</v>
      </c>
      <c r="AU6" s="54">
        <f>AU8+AU18+AU30+AU47+AU48+AU49+AU50</f>
        <v>198994.97662154023</v>
      </c>
      <c r="AV6" s="48">
        <f>SUM(AT6:AU6)</f>
        <v>815331.3195032896</v>
      </c>
      <c r="AW6" s="125">
        <f>SUM(AW8:AW50)</f>
        <v>225360.6331111111</v>
      </c>
      <c r="AX6" s="144">
        <f>AX8+AX18+AX30+AX47+AX48+AX49+AX50</f>
        <v>593768.6863921786</v>
      </c>
      <c r="AY6" s="158">
        <f>AY8+AY18+AY30+AY47+AY48+AY49+AY50</f>
        <v>2642.6</v>
      </c>
      <c r="AZ6" s="54">
        <f>AZ8+AZ18+AZ30+AZ47+AZ48+AZ49+AZ50</f>
        <v>941.6600000000001</v>
      </c>
      <c r="BA6" s="48">
        <f>_xlfn.IFERROR(AZ6/AY6*100,0)</f>
        <v>35.633845455233484</v>
      </c>
      <c r="BB6" s="54">
        <f>BB8+BB18+BB30+BB47+BB48+BB49+BB50</f>
        <v>616336.3428817494</v>
      </c>
      <c r="BC6" s="54">
        <f>BC8+BC18+BC30+BC47+BC48+BC49+BC50</f>
        <v>198994.97662154023</v>
      </c>
      <c r="BD6" s="48">
        <f>SUM(BB6:BC6)</f>
        <v>815331.3195032896</v>
      </c>
      <c r="BE6" s="125">
        <f>SUM(BE8:BE50)</f>
        <v>225360.6331111111</v>
      </c>
      <c r="BF6" s="144">
        <f>BF8+BF18+BF30+BF47+BF48+BF49+BF50</f>
        <v>593768.6863921786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</row>
    <row r="7" spans="1:181" s="174" customFormat="1" ht="19.5" customHeight="1" hidden="1" outlineLevel="1">
      <c r="A7" s="167">
        <v>1</v>
      </c>
      <c r="B7" s="168">
        <v>2</v>
      </c>
      <c r="C7" s="168">
        <v>3</v>
      </c>
      <c r="D7" s="168">
        <v>4</v>
      </c>
      <c r="E7" s="168" t="s">
        <v>123</v>
      </c>
      <c r="F7" s="168">
        <v>6</v>
      </c>
      <c r="G7" s="168">
        <v>7</v>
      </c>
      <c r="H7" s="168" t="s">
        <v>124</v>
      </c>
      <c r="I7" s="169">
        <v>9</v>
      </c>
      <c r="J7" s="170" t="s">
        <v>136</v>
      </c>
      <c r="K7" s="171">
        <v>11</v>
      </c>
      <c r="L7" s="168">
        <v>12</v>
      </c>
      <c r="M7" s="168" t="s">
        <v>125</v>
      </c>
      <c r="N7" s="168">
        <v>14</v>
      </c>
      <c r="O7" s="168">
        <v>15</v>
      </c>
      <c r="P7" s="168" t="s">
        <v>126</v>
      </c>
      <c r="Q7" s="169">
        <v>17</v>
      </c>
      <c r="R7" s="170" t="s">
        <v>136</v>
      </c>
      <c r="S7" s="172">
        <v>19</v>
      </c>
      <c r="T7" s="168">
        <v>20</v>
      </c>
      <c r="U7" s="168" t="s">
        <v>127</v>
      </c>
      <c r="V7" s="168">
        <v>22</v>
      </c>
      <c r="W7" s="168">
        <v>23</v>
      </c>
      <c r="X7" s="168" t="s">
        <v>128</v>
      </c>
      <c r="Y7" s="169">
        <v>25</v>
      </c>
      <c r="Z7" s="170" t="s">
        <v>136</v>
      </c>
      <c r="AA7" s="171">
        <v>27</v>
      </c>
      <c r="AB7" s="168">
        <v>28</v>
      </c>
      <c r="AC7" s="168" t="s">
        <v>129</v>
      </c>
      <c r="AD7" s="168">
        <v>30</v>
      </c>
      <c r="AE7" s="168">
        <v>31</v>
      </c>
      <c r="AF7" s="168" t="s">
        <v>130</v>
      </c>
      <c r="AG7" s="169">
        <v>33</v>
      </c>
      <c r="AH7" s="170" t="s">
        <v>136</v>
      </c>
      <c r="AI7" s="172">
        <v>35</v>
      </c>
      <c r="AJ7" s="168">
        <v>36</v>
      </c>
      <c r="AK7" s="168" t="s">
        <v>131</v>
      </c>
      <c r="AL7" s="168">
        <v>38</v>
      </c>
      <c r="AM7" s="168">
        <v>39</v>
      </c>
      <c r="AN7" s="168" t="s">
        <v>132</v>
      </c>
      <c r="AO7" s="169">
        <v>41</v>
      </c>
      <c r="AP7" s="170" t="s">
        <v>136</v>
      </c>
      <c r="AQ7" s="172">
        <v>35</v>
      </c>
      <c r="AR7" s="168">
        <v>36</v>
      </c>
      <c r="AS7" s="168" t="s">
        <v>131</v>
      </c>
      <c r="AT7" s="168">
        <v>38</v>
      </c>
      <c r="AU7" s="168">
        <v>39</v>
      </c>
      <c r="AV7" s="168" t="s">
        <v>132</v>
      </c>
      <c r="AW7" s="169">
        <v>41</v>
      </c>
      <c r="AX7" s="170" t="s">
        <v>136</v>
      </c>
      <c r="AY7" s="172">
        <v>35</v>
      </c>
      <c r="AZ7" s="168">
        <v>36</v>
      </c>
      <c r="BA7" s="168" t="s">
        <v>131</v>
      </c>
      <c r="BB7" s="168">
        <v>38</v>
      </c>
      <c r="BC7" s="168">
        <v>39</v>
      </c>
      <c r="BD7" s="168" t="s">
        <v>132</v>
      </c>
      <c r="BE7" s="169">
        <v>41</v>
      </c>
      <c r="BF7" s="170" t="s">
        <v>136</v>
      </c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</row>
    <row r="8" spans="1:58" s="13" customFormat="1" ht="41.25" customHeight="1" collapsed="1">
      <c r="A8" s="153" t="s">
        <v>41</v>
      </c>
      <c r="B8" s="177" t="s">
        <v>141</v>
      </c>
      <c r="C8" s="49">
        <f>SUM(C9:C17)</f>
        <v>87</v>
      </c>
      <c r="D8" s="49">
        <f>SUM(D9:D17)</f>
        <v>0</v>
      </c>
      <c r="E8" s="49">
        <f>D8/C8*100</f>
        <v>0</v>
      </c>
      <c r="F8" s="49">
        <f>N8+V8+AD8+AL8+AT8+BB8</f>
        <v>406238.5999999999</v>
      </c>
      <c r="G8" s="49">
        <f>O8+W8+AE8+AM8+AU8+BC8</f>
        <v>121871.58</v>
      </c>
      <c r="H8" s="49">
        <f>SUM(H9:H17)</f>
        <v>528110.1799999999</v>
      </c>
      <c r="I8" s="127">
        <f>SUM(I9:I17)</f>
        <v>0</v>
      </c>
      <c r="J8" s="145">
        <f>SUM(J9:J17)</f>
        <v>528110.1799999999</v>
      </c>
      <c r="K8" s="118">
        <f>SUM(K9:K17)</f>
        <v>0</v>
      </c>
      <c r="L8" s="49">
        <f>SUM(L9:L17)</f>
        <v>0</v>
      </c>
      <c r="M8" s="49">
        <f aca="true" t="shared" si="0" ref="M8:M17">_xlfn.IFERROR(L8/K8*100,0)</f>
        <v>0</v>
      </c>
      <c r="N8" s="49">
        <f aca="true" t="shared" si="1" ref="N8:T8">SUM(N9:N17)</f>
        <v>67199.79999999999</v>
      </c>
      <c r="O8" s="49">
        <f t="shared" si="1"/>
        <v>20159.940000000002</v>
      </c>
      <c r="P8" s="49">
        <f>SUM(P9:P17)</f>
        <v>87359.73999999998</v>
      </c>
      <c r="Q8" s="127">
        <f t="shared" si="1"/>
        <v>0</v>
      </c>
      <c r="R8" s="145">
        <f>SUM(R9:R17)</f>
        <v>87359.73999999998</v>
      </c>
      <c r="S8" s="164">
        <f t="shared" si="1"/>
        <v>13</v>
      </c>
      <c r="T8" s="49">
        <f t="shared" si="1"/>
        <v>0</v>
      </c>
      <c r="U8" s="49">
        <f aca="true" t="shared" si="2" ref="U8:U29">_xlfn.IFERROR(T8/S8*100,0)</f>
        <v>0</v>
      </c>
      <c r="V8" s="49">
        <f aca="true" t="shared" si="3" ref="V8:AB8">SUM(V9:V17)</f>
        <v>65390.9</v>
      </c>
      <c r="W8" s="49">
        <f t="shared" si="3"/>
        <v>19617.270000000004</v>
      </c>
      <c r="X8" s="49">
        <f t="shared" si="3"/>
        <v>85008.16999999998</v>
      </c>
      <c r="Y8" s="127">
        <f t="shared" si="3"/>
        <v>0</v>
      </c>
      <c r="Z8" s="145">
        <f>SUM(Z9:Z17)</f>
        <v>85008.16999999998</v>
      </c>
      <c r="AA8" s="118">
        <f t="shared" si="3"/>
        <v>14</v>
      </c>
      <c r="AB8" s="49">
        <f t="shared" si="3"/>
        <v>0</v>
      </c>
      <c r="AC8" s="49">
        <f aca="true" t="shared" si="4" ref="AC8:AC29">_xlfn.IFERROR(AB8/AA8*100,0)</f>
        <v>0</v>
      </c>
      <c r="AD8" s="49">
        <f aca="true" t="shared" si="5" ref="AD8:AJ8">SUM(AD9:AD17)</f>
        <v>72141.49999999999</v>
      </c>
      <c r="AE8" s="49">
        <f t="shared" si="5"/>
        <v>21642.45</v>
      </c>
      <c r="AF8" s="49">
        <f t="shared" si="5"/>
        <v>93783.95</v>
      </c>
      <c r="AG8" s="127">
        <f t="shared" si="5"/>
        <v>0</v>
      </c>
      <c r="AH8" s="145">
        <f>SUM(AH9:AH17)</f>
        <v>93783.95</v>
      </c>
      <c r="AI8" s="164">
        <f t="shared" si="5"/>
        <v>20</v>
      </c>
      <c r="AJ8" s="49">
        <f t="shared" si="5"/>
        <v>0</v>
      </c>
      <c r="AK8" s="49">
        <f aca="true" t="shared" si="6" ref="AK8:AK29">_xlfn.IFERROR(AJ8/AI8*100,0)</f>
        <v>0</v>
      </c>
      <c r="AL8" s="49">
        <f aca="true" t="shared" si="7" ref="AL8:AR8">SUM(AL9:AL17)</f>
        <v>67168.79999999999</v>
      </c>
      <c r="AM8" s="49">
        <f t="shared" si="7"/>
        <v>20150.64</v>
      </c>
      <c r="AN8" s="49">
        <f t="shared" si="7"/>
        <v>87319.44</v>
      </c>
      <c r="AO8" s="127">
        <f t="shared" si="7"/>
        <v>0</v>
      </c>
      <c r="AP8" s="145">
        <f>SUM(AP9:AP17)</f>
        <v>87319.44</v>
      </c>
      <c r="AQ8" s="164">
        <f t="shared" si="7"/>
        <v>20</v>
      </c>
      <c r="AR8" s="49">
        <f t="shared" si="7"/>
        <v>0</v>
      </c>
      <c r="AS8" s="49">
        <f aca="true" t="shared" si="8" ref="AS8:AS29">_xlfn.IFERROR(AR8/AQ8*100,0)</f>
        <v>0</v>
      </c>
      <c r="AT8" s="49">
        <f aca="true" t="shared" si="9" ref="AT8:AZ8">SUM(AT9:AT17)</f>
        <v>67168.79999999999</v>
      </c>
      <c r="AU8" s="49">
        <f t="shared" si="9"/>
        <v>20150.64</v>
      </c>
      <c r="AV8" s="49">
        <f t="shared" si="9"/>
        <v>87319.44</v>
      </c>
      <c r="AW8" s="127">
        <f t="shared" si="9"/>
        <v>0</v>
      </c>
      <c r="AX8" s="145">
        <f>SUM(AX9:AX17)</f>
        <v>87319.44</v>
      </c>
      <c r="AY8" s="164">
        <f t="shared" si="9"/>
        <v>20</v>
      </c>
      <c r="AZ8" s="49">
        <f t="shared" si="9"/>
        <v>0</v>
      </c>
      <c r="BA8" s="49">
        <f aca="true" t="shared" si="10" ref="BA8:BA29">_xlfn.IFERROR(AZ8/AY8*100,0)</f>
        <v>0</v>
      </c>
      <c r="BB8" s="49">
        <f>SUM(BB9:BB17)</f>
        <v>67168.79999999999</v>
      </c>
      <c r="BC8" s="49">
        <f>SUM(BC9:BC17)</f>
        <v>20150.64</v>
      </c>
      <c r="BD8" s="49">
        <f>SUM(BD9:BD17)</f>
        <v>87319.44</v>
      </c>
      <c r="BE8" s="127">
        <f>SUM(BE9:BE17)</f>
        <v>0</v>
      </c>
      <c r="BF8" s="145">
        <f>SUM(BF9:BF17)</f>
        <v>87319.44</v>
      </c>
    </row>
    <row r="9" spans="1:58" s="3" customFormat="1" ht="18.75" customHeight="1" hidden="1" outlineLevel="1">
      <c r="A9" s="159">
        <v>1</v>
      </c>
      <c r="B9" s="36" t="s">
        <v>65</v>
      </c>
      <c r="C9" s="45">
        <f>K9+S9+AA9+AI9+AQ9+AY9</f>
        <v>87</v>
      </c>
      <c r="D9" s="45">
        <f aca="true" t="shared" si="11" ref="D9:D17">L9+T9+AB9+AJ9</f>
        <v>0</v>
      </c>
      <c r="E9" s="45"/>
      <c r="F9" s="45">
        <f>N9+V9+AD9+AL9+AT9+BB9</f>
        <v>338224.2</v>
      </c>
      <c r="G9" s="45">
        <f>O9+W9+AE9+AM9+AU9+BC9</f>
        <v>101467.26000000001</v>
      </c>
      <c r="H9" s="47">
        <f>SUM(F9:G9)</f>
        <v>439691.46</v>
      </c>
      <c r="I9" s="148">
        <f aca="true" t="shared" si="12" ref="I9:I17">Q9+Y9+AG9+AO9</f>
        <v>0</v>
      </c>
      <c r="J9" s="147">
        <f aca="true" t="shared" si="13" ref="J9:J17">(I9-H9)*-1</f>
        <v>439691.46</v>
      </c>
      <c r="K9" s="138">
        <f>VLOOKUP($B9,'06.02 с мобил'!$B$6:$AK$50,9,0)</f>
        <v>0</v>
      </c>
      <c r="L9" s="53">
        <f>VLOOKUP($B9,'06.02 с мобил'!$B$6:$AK$50,10,0)</f>
        <v>0</v>
      </c>
      <c r="M9" s="45">
        <f t="shared" si="0"/>
        <v>0</v>
      </c>
      <c r="N9" s="53">
        <f>VLOOKUP($B9,'06.02 с мобил'!$B$6:$AK$50,12,0)-VLOOKUP($B9,'ФОТ по мобил.'!$B$6:$Q$49,5,0)</f>
        <v>55074.2</v>
      </c>
      <c r="O9" s="53">
        <f>VLOOKUP($B9,'06.02 с мобил'!$B$6:$AK$50,13,0)/VLOOKUP($B9,'06.02 с мобил'!$B$6:$AK$50,12,0)*N9</f>
        <v>16522.26</v>
      </c>
      <c r="P9" s="47">
        <f>SUM(N9:O9)</f>
        <v>71596.45999999999</v>
      </c>
      <c r="Q9" s="149">
        <f>VLOOKUP($B9,'06.02 с мобил'!$B$6:$AK$50,15,0)</f>
        <v>0</v>
      </c>
      <c r="R9" s="147">
        <f aca="true" t="shared" si="14" ref="R9:R17">(Q9-P9)*-1</f>
        <v>71596.45999999999</v>
      </c>
      <c r="S9" s="160">
        <f>VLOOKUP($B9,'06.02 с мобил'!$B$6:$AK$50,16,0)</f>
        <v>13</v>
      </c>
      <c r="T9" s="53">
        <f>VLOOKUP($B9,'06.02 с мобил'!$B$6:$AK$50,17,0)</f>
        <v>0</v>
      </c>
      <c r="U9" s="45">
        <f t="shared" si="2"/>
        <v>0</v>
      </c>
      <c r="V9" s="53">
        <f>VLOOKUP($B9,'06.02 с мобил'!$B$6:$AK$50,19,0)-VLOOKUP($B9,'ФОТ по мобил.'!$B$6:$Q$49,8,0)</f>
        <v>54272</v>
      </c>
      <c r="W9" s="53">
        <f>VLOOKUP($B9,'06.02 с мобил'!$B$6:$AK$50,20,0)/VLOOKUP($B9,'06.02 с мобил'!$B$6:$AK$50,19,0)*V9</f>
        <v>16281.599999999999</v>
      </c>
      <c r="X9" s="47">
        <f>SUM(V9:W9)</f>
        <v>70553.6</v>
      </c>
      <c r="Y9" s="149">
        <f>VLOOKUP($B9,'06.02 с мобил'!$B$6:$AK$50,22,0)</f>
        <v>0</v>
      </c>
      <c r="Z9" s="147">
        <f aca="true" t="shared" si="15" ref="Z9:Z17">(Y9-X9)*-1</f>
        <v>70553.6</v>
      </c>
      <c r="AA9" s="138">
        <f>VLOOKUP($B9,'06.02 с мобил'!$B$6:$AK$50,23,0)</f>
        <v>14</v>
      </c>
      <c r="AB9" s="53">
        <f>VLOOKUP($B9,'06.02 с мобил'!$B$6:$AK$50,24,0)</f>
        <v>0</v>
      </c>
      <c r="AC9" s="45">
        <f t="shared" si="4"/>
        <v>0</v>
      </c>
      <c r="AD9" s="53">
        <f>VLOOKUP($B9,'06.02 с мобил'!$B$6:$AK$50,26,0)-VLOOKUP($B9,'ФОТ по мобил.'!$B$6:$Q$49,11,0)</f>
        <v>60887</v>
      </c>
      <c r="AE9" s="53">
        <f>VLOOKUP($B9,'06.02 с мобил'!$B$6:$AK$50,27,0)/VLOOKUP($B9,'06.02 с мобил'!$B$6:$AK$50,26,0)*AD9</f>
        <v>18266.1</v>
      </c>
      <c r="AF9" s="47">
        <f>SUM(AD9:AE9)</f>
        <v>79153.1</v>
      </c>
      <c r="AG9" s="149">
        <f>VLOOKUP($B9,'06.02 с мобил'!$B$6:$AK$50,29,0)</f>
        <v>0</v>
      </c>
      <c r="AH9" s="147">
        <f aca="true" t="shared" si="16" ref="AH9:AH17">(AG9-AF9)*-1</f>
        <v>79153.1</v>
      </c>
      <c r="AI9" s="160">
        <f>VLOOKUP($B9,'06.02 с мобил'!$B$6:$AK$50,30,0)</f>
        <v>20</v>
      </c>
      <c r="AJ9" s="53">
        <f>VLOOKUP($B9,'06.02 с мобил'!$B$6:$AK$50,31,0)</f>
        <v>0</v>
      </c>
      <c r="AK9" s="45">
        <f t="shared" si="6"/>
        <v>0</v>
      </c>
      <c r="AL9" s="53">
        <f>VLOOKUP($B9,'06.02 с мобил'!$B$6:$AK$50,33,0)-VLOOKUP($B9,'ФОТ по мобил.'!$B$6:$Q$49,14,0)</f>
        <v>55997</v>
      </c>
      <c r="AM9" s="53">
        <f>VLOOKUP($B9,'06.02 с мобил'!$B$6:$AK$50,34,0)/VLOOKUP($B9,'06.02 с мобил'!$B$6:$AK$50,33,0)*AL9</f>
        <v>16799.1</v>
      </c>
      <c r="AN9" s="47">
        <f>SUM(AL9:AM9)</f>
        <v>72796.1</v>
      </c>
      <c r="AO9" s="149">
        <f>VLOOKUP($B9,'06.02 с мобил'!$B$6:$AK$50,36,0)</f>
        <v>0</v>
      </c>
      <c r="AP9" s="147">
        <f aca="true" t="shared" si="17" ref="AP9:AP17">(AO9-AN9)*-1</f>
        <v>72796.1</v>
      </c>
      <c r="AQ9" s="160">
        <f>VLOOKUP($B9,'06.02 с мобил'!$B$6:$AK$50,30,0)</f>
        <v>20</v>
      </c>
      <c r="AR9" s="53">
        <f>VLOOKUP($B9,'06.02 с мобил'!$B$6:$AK$50,31,0)</f>
        <v>0</v>
      </c>
      <c r="AS9" s="45">
        <f t="shared" si="8"/>
        <v>0</v>
      </c>
      <c r="AT9" s="53">
        <f>VLOOKUP($B9,'06.02 с мобил'!$B$6:$AK$50,33,0)-VLOOKUP($B9,'ФОТ по мобил.'!$B$6:$Q$49,14,0)</f>
        <v>55997</v>
      </c>
      <c r="AU9" s="53">
        <f>VLOOKUP($B9,'06.02 с мобил'!$B$6:$AK$50,34,0)/VLOOKUP($B9,'06.02 с мобил'!$B$6:$AK$50,33,0)*AT9</f>
        <v>16799.1</v>
      </c>
      <c r="AV9" s="47">
        <f>SUM(AT9:AU9)</f>
        <v>72796.1</v>
      </c>
      <c r="AW9" s="149">
        <f>VLOOKUP($B9,'06.02 с мобил'!$B$6:$AK$50,36,0)</f>
        <v>0</v>
      </c>
      <c r="AX9" s="147">
        <f aca="true" t="shared" si="18" ref="AX9:AX17">(AW9-AV9)*-1</f>
        <v>72796.1</v>
      </c>
      <c r="AY9" s="160">
        <f>VLOOKUP($B9,'06.02 с мобил'!$B$6:$AK$50,30,0)</f>
        <v>20</v>
      </c>
      <c r="AZ9" s="53">
        <f>VLOOKUP($B9,'06.02 с мобил'!$B$6:$AK$50,31,0)</f>
        <v>0</v>
      </c>
      <c r="BA9" s="45">
        <f t="shared" si="10"/>
        <v>0</v>
      </c>
      <c r="BB9" s="53">
        <f>VLOOKUP($B9,'06.02 с мобил'!$B$6:$AK$50,33,0)-VLOOKUP($B9,'ФОТ по мобил.'!$B$6:$Q$49,14,0)</f>
        <v>55997</v>
      </c>
      <c r="BC9" s="53">
        <f>VLOOKUP($B9,'06.02 с мобил'!$B$6:$AK$50,34,0)/VLOOKUP($B9,'06.02 с мобил'!$B$6:$AK$50,33,0)*BB9</f>
        <v>16799.1</v>
      </c>
      <c r="BD9" s="47">
        <f>SUM(BB9:BC9)</f>
        <v>72796.1</v>
      </c>
      <c r="BE9" s="149">
        <f>VLOOKUP($B9,'06.02 с мобил'!$B$6:$AK$50,36,0)</f>
        <v>0</v>
      </c>
      <c r="BF9" s="147">
        <f aca="true" t="shared" si="19" ref="BF9:BF17">(BE9-BD9)*-1</f>
        <v>72796.1</v>
      </c>
    </row>
    <row r="10" spans="1:58" s="3" customFormat="1" ht="18.75" customHeight="1" hidden="1" outlineLevel="1">
      <c r="A10" s="159">
        <v>2</v>
      </c>
      <c r="B10" s="36" t="s">
        <v>66</v>
      </c>
      <c r="C10" s="45">
        <f aca="true" t="shared" si="20" ref="C10:C17">K10+S10+AA10+AI10</f>
        <v>0</v>
      </c>
      <c r="D10" s="45">
        <f t="shared" si="11"/>
        <v>0</v>
      </c>
      <c r="E10" s="45"/>
      <c r="F10" s="45">
        <f aca="true" t="shared" si="21" ref="F10:F17">N10+V10+AD10+AL10+AT10+BB10</f>
        <v>13191.699999999999</v>
      </c>
      <c r="G10" s="45">
        <f aca="true" t="shared" si="22" ref="G10:G17">O10+W10+AE10+AM10+AU10+BC10</f>
        <v>3957.5099999999998</v>
      </c>
      <c r="H10" s="47">
        <f aca="true" t="shared" si="23" ref="H10:H17">SUM(F10:G10)</f>
        <v>17149.21</v>
      </c>
      <c r="I10" s="148">
        <f t="shared" si="12"/>
        <v>0</v>
      </c>
      <c r="J10" s="147">
        <f t="shared" si="13"/>
        <v>17149.21</v>
      </c>
      <c r="K10" s="139">
        <f>VLOOKUP($B10,'06.02 с мобил'!$B$6:$AK$50,9,0)</f>
        <v>0</v>
      </c>
      <c r="L10" s="45">
        <f>VLOOKUP($B10,'06.02 с мобил'!$B$6:$AK$50,10,0)</f>
        <v>0</v>
      </c>
      <c r="M10" s="45">
        <f t="shared" si="0"/>
        <v>0</v>
      </c>
      <c r="N10" s="53">
        <f>VLOOKUP($B10,'06.02 с мобил'!$B$6:$AK$50,12,0)-VLOOKUP($B10,'ФОТ по мобил.'!$B$6:$Q$49,5,0)</f>
        <v>3093.6000000000004</v>
      </c>
      <c r="O10" s="53">
        <f>VLOOKUP($B10,'06.02 с мобил'!$B$6:$AK$50,13,0)/VLOOKUP($B10,'06.02 с мобил'!$B$6:$AK$50,12,0)*N10</f>
        <v>928.08</v>
      </c>
      <c r="P10" s="47">
        <f aca="true" t="shared" si="24" ref="P10:P17">SUM(N10:O10)</f>
        <v>4021.6800000000003</v>
      </c>
      <c r="Q10" s="149">
        <f>VLOOKUP($B10,'06.02 с мобил'!$B$6:$AK$50,15,0)</f>
        <v>0</v>
      </c>
      <c r="R10" s="147">
        <f t="shared" si="14"/>
        <v>4021.6800000000003</v>
      </c>
      <c r="S10" s="161">
        <f>VLOOKUP($B10,'06.02 с мобил'!$B$6:$AK$50,16,0)</f>
        <v>0</v>
      </c>
      <c r="T10" s="45">
        <f>VLOOKUP($B10,'06.02 с мобил'!$B$6:$AK$50,17,0)</f>
        <v>0</v>
      </c>
      <c r="U10" s="45">
        <f t="shared" si="2"/>
        <v>0</v>
      </c>
      <c r="V10" s="53">
        <f>VLOOKUP($B10,'06.02 с мобил'!$B$6:$AK$50,19,0)-VLOOKUP($B10,'ФОТ по мобил.'!$B$6:$Q$49,8,0)</f>
        <v>1983.4</v>
      </c>
      <c r="W10" s="53">
        <f>VLOOKUP($B10,'06.02 с мобил'!$B$6:$AK$50,20,0)/VLOOKUP($B10,'06.02 с мобил'!$B$6:$AK$50,19,0)*V10</f>
        <v>595.02</v>
      </c>
      <c r="X10" s="47">
        <f aca="true" t="shared" si="25" ref="X10:X17">SUM(V10:W10)</f>
        <v>2578.42</v>
      </c>
      <c r="Y10" s="149">
        <f>VLOOKUP($B10,'06.02 с мобил'!$B$6:$AK$50,22,0)</f>
        <v>0</v>
      </c>
      <c r="Z10" s="147">
        <f t="shared" si="15"/>
        <v>2578.42</v>
      </c>
      <c r="AA10" s="139">
        <f>VLOOKUP($B10,'06.02 с мобил'!$B$6:$AK$50,23,0)</f>
        <v>0</v>
      </c>
      <c r="AB10" s="45">
        <f>VLOOKUP($B10,'06.02 с мобил'!$B$6:$AK$50,24,0)</f>
        <v>0</v>
      </c>
      <c r="AC10" s="45">
        <f t="shared" si="4"/>
        <v>0</v>
      </c>
      <c r="AD10" s="53">
        <f>VLOOKUP($B10,'06.02 с мобил'!$B$6:$AK$50,26,0)-VLOOKUP($B10,'ФОТ по мобил.'!$B$6:$Q$49,11,0)</f>
        <v>2086.8</v>
      </c>
      <c r="AE10" s="53">
        <f>VLOOKUP($B10,'06.02 с мобил'!$B$6:$AK$50,27,0)/VLOOKUP($B10,'06.02 с мобил'!$B$6:$AK$50,26,0)*AD10</f>
        <v>626.0400000000001</v>
      </c>
      <c r="AF10" s="47">
        <f aca="true" t="shared" si="26" ref="AF10:AF17">SUM(AD10:AE10)</f>
        <v>2712.84</v>
      </c>
      <c r="AG10" s="149">
        <f>VLOOKUP($B10,'06.02 с мобил'!$B$6:$AK$50,29,0)</f>
        <v>0</v>
      </c>
      <c r="AH10" s="147">
        <f t="shared" si="16"/>
        <v>2712.84</v>
      </c>
      <c r="AI10" s="161">
        <f>VLOOKUP($B10,'06.02 с мобил'!$B$6:$AK$50,30,0)</f>
        <v>0</v>
      </c>
      <c r="AJ10" s="45">
        <f>VLOOKUP($B10,'06.02 с мобил'!$B$6:$AK$50,31,0)</f>
        <v>0</v>
      </c>
      <c r="AK10" s="45">
        <f t="shared" si="6"/>
        <v>0</v>
      </c>
      <c r="AL10" s="53">
        <f>VLOOKUP($B10,'06.02 с мобил'!$B$6:$AK$50,33,0)-VLOOKUP($B10,'ФОТ по мобил.'!$B$6:$Q$49,14,0)</f>
        <v>2009.3</v>
      </c>
      <c r="AM10" s="53">
        <f>VLOOKUP($B10,'06.02 с мобил'!$B$6:$AK$50,34,0)/VLOOKUP($B10,'06.02 с мобил'!$B$6:$AK$50,33,0)*AL10</f>
        <v>602.79</v>
      </c>
      <c r="AN10" s="47">
        <f aca="true" t="shared" si="27" ref="AN10:AN17">SUM(AL10:AM10)</f>
        <v>2612.09</v>
      </c>
      <c r="AO10" s="149">
        <f>VLOOKUP($B10,'06.02 с мобил'!$B$6:$AK$50,36,0)</f>
        <v>0</v>
      </c>
      <c r="AP10" s="147">
        <f t="shared" si="17"/>
        <v>2612.09</v>
      </c>
      <c r="AQ10" s="161">
        <f>VLOOKUP($B10,'06.02 с мобил'!$B$6:$AK$50,30,0)</f>
        <v>0</v>
      </c>
      <c r="AR10" s="45">
        <f>VLOOKUP($B10,'06.02 с мобил'!$B$6:$AK$50,31,0)</f>
        <v>0</v>
      </c>
      <c r="AS10" s="45">
        <f t="shared" si="8"/>
        <v>0</v>
      </c>
      <c r="AT10" s="53">
        <f>VLOOKUP($B10,'06.02 с мобил'!$B$6:$AK$50,33,0)-VLOOKUP($B10,'ФОТ по мобил.'!$B$6:$Q$49,14,0)</f>
        <v>2009.3</v>
      </c>
      <c r="AU10" s="53">
        <f>VLOOKUP($B10,'06.02 с мобил'!$B$6:$AK$50,34,0)/VLOOKUP($B10,'06.02 с мобил'!$B$6:$AK$50,33,0)*AT10</f>
        <v>602.79</v>
      </c>
      <c r="AV10" s="47">
        <f aca="true" t="shared" si="28" ref="AV10:AV17">SUM(AT10:AU10)</f>
        <v>2612.09</v>
      </c>
      <c r="AW10" s="149">
        <f>VLOOKUP($B10,'06.02 с мобил'!$B$6:$AK$50,36,0)</f>
        <v>0</v>
      </c>
      <c r="AX10" s="147">
        <f t="shared" si="18"/>
        <v>2612.09</v>
      </c>
      <c r="AY10" s="161">
        <f>VLOOKUP($B10,'06.02 с мобил'!$B$6:$AK$50,30,0)</f>
        <v>0</v>
      </c>
      <c r="AZ10" s="45">
        <f>VLOOKUP($B10,'06.02 с мобил'!$B$6:$AK$50,31,0)</f>
        <v>0</v>
      </c>
      <c r="BA10" s="45">
        <f t="shared" si="10"/>
        <v>0</v>
      </c>
      <c r="BB10" s="53">
        <f>VLOOKUP($B10,'06.02 с мобил'!$B$6:$AK$50,33,0)-VLOOKUP($B10,'ФОТ по мобил.'!$B$6:$Q$49,14,0)</f>
        <v>2009.3</v>
      </c>
      <c r="BC10" s="53">
        <f>VLOOKUP($B10,'06.02 с мобил'!$B$6:$AK$50,34,0)/VLOOKUP($B10,'06.02 с мобил'!$B$6:$AK$50,33,0)*BB10</f>
        <v>602.79</v>
      </c>
      <c r="BD10" s="47">
        <f aca="true" t="shared" si="29" ref="BD10:BD17">SUM(BB10:BC10)</f>
        <v>2612.09</v>
      </c>
      <c r="BE10" s="149">
        <f>VLOOKUP($B10,'06.02 с мобил'!$B$6:$AK$50,36,0)</f>
        <v>0</v>
      </c>
      <c r="BF10" s="147">
        <f t="shared" si="19"/>
        <v>2612.09</v>
      </c>
    </row>
    <row r="11" spans="1:58" s="3" customFormat="1" ht="18.75" customHeight="1" hidden="1" outlineLevel="1">
      <c r="A11" s="159">
        <v>3</v>
      </c>
      <c r="B11" s="36" t="s">
        <v>67</v>
      </c>
      <c r="C11" s="45">
        <f t="shared" si="20"/>
        <v>0</v>
      </c>
      <c r="D11" s="45">
        <f t="shared" si="11"/>
        <v>0</v>
      </c>
      <c r="E11" s="45"/>
      <c r="F11" s="45">
        <f t="shared" si="21"/>
        <v>27856.899999999998</v>
      </c>
      <c r="G11" s="45">
        <f t="shared" si="22"/>
        <v>8357.07</v>
      </c>
      <c r="H11" s="47">
        <f>SUM(F11:G11)</f>
        <v>36213.97</v>
      </c>
      <c r="I11" s="148">
        <f t="shared" si="12"/>
        <v>0</v>
      </c>
      <c r="J11" s="147">
        <f t="shared" si="13"/>
        <v>36213.97</v>
      </c>
      <c r="K11" s="139">
        <f>VLOOKUP($B11,'06.02 с мобил'!$B$6:$AK$50,9,0)</f>
        <v>0</v>
      </c>
      <c r="L11" s="45">
        <f>VLOOKUP($B11,'06.02 с мобил'!$B$6:$AK$50,10,0)</f>
        <v>0</v>
      </c>
      <c r="M11" s="45">
        <f t="shared" si="0"/>
        <v>0</v>
      </c>
      <c r="N11" s="53">
        <f>VLOOKUP($B11,'06.02 с мобил'!$B$6:$AK$50,12,0)-VLOOKUP($B11,'ФОТ по мобил.'!$B$6:$Q$49,5,0)</f>
        <v>4830.4</v>
      </c>
      <c r="O11" s="53">
        <f>VLOOKUP($B11,'06.02 с мобил'!$B$6:$AK$50,13,0)/VLOOKUP($B11,'06.02 с мобил'!$B$6:$AK$50,12,0)*N11</f>
        <v>1449.12</v>
      </c>
      <c r="P11" s="47">
        <f t="shared" si="24"/>
        <v>6279.5199999999995</v>
      </c>
      <c r="Q11" s="149">
        <f>VLOOKUP($B11,'06.02 с мобил'!$B$6:$AK$50,15,0)</f>
        <v>0</v>
      </c>
      <c r="R11" s="147">
        <f t="shared" si="14"/>
        <v>6279.5199999999995</v>
      </c>
      <c r="S11" s="161">
        <f>VLOOKUP($B11,'06.02 с мобил'!$B$6:$AK$50,16,0)</f>
        <v>0</v>
      </c>
      <c r="T11" s="45">
        <f>VLOOKUP($B11,'06.02 с мобил'!$B$6:$AK$50,17,0)</f>
        <v>0</v>
      </c>
      <c r="U11" s="45">
        <f t="shared" si="2"/>
        <v>0</v>
      </c>
      <c r="V11" s="53">
        <f>VLOOKUP($B11,'06.02 с мобил'!$B$6:$AK$50,19,0)-VLOOKUP($B11,'ФОТ по мобил.'!$B$6:$Q$49,8,0)</f>
        <v>4605.3</v>
      </c>
      <c r="W11" s="53">
        <f>VLOOKUP($B11,'06.02 с мобил'!$B$6:$AK$50,20,0)/VLOOKUP($B11,'06.02 с мобил'!$B$6:$AK$50,19,0)*V11</f>
        <v>1381.59</v>
      </c>
      <c r="X11" s="47">
        <f t="shared" si="25"/>
        <v>5986.89</v>
      </c>
      <c r="Y11" s="149">
        <f>VLOOKUP($B11,'06.02 с мобил'!$B$6:$AK$50,22,0)</f>
        <v>0</v>
      </c>
      <c r="Z11" s="147">
        <f t="shared" si="15"/>
        <v>5986.89</v>
      </c>
      <c r="AA11" s="139">
        <f>VLOOKUP($B11,'06.02 с мобил'!$B$6:$AK$50,23,0)</f>
        <v>0</v>
      </c>
      <c r="AB11" s="45">
        <f>VLOOKUP($B11,'06.02 с мобил'!$B$6:$AK$50,24,0)</f>
        <v>0</v>
      </c>
      <c r="AC11" s="45">
        <f t="shared" si="4"/>
        <v>0</v>
      </c>
      <c r="AD11" s="53">
        <f>VLOOKUP($B11,'06.02 с мобил'!$B$6:$AK$50,26,0)-VLOOKUP($B11,'ФОТ по мобил.'!$B$6:$Q$49,11,0)</f>
        <v>4605.3</v>
      </c>
      <c r="AE11" s="53">
        <f>VLOOKUP($B11,'06.02 с мобил'!$B$6:$AK$50,27,0)/VLOOKUP($B11,'06.02 с мобил'!$B$6:$AK$50,26,0)*AD11</f>
        <v>1381.59</v>
      </c>
      <c r="AF11" s="47">
        <f t="shared" si="26"/>
        <v>5986.89</v>
      </c>
      <c r="AG11" s="149">
        <f>VLOOKUP($B11,'06.02 с мобил'!$B$6:$AK$50,29,0)</f>
        <v>0</v>
      </c>
      <c r="AH11" s="147">
        <f t="shared" si="16"/>
        <v>5986.89</v>
      </c>
      <c r="AI11" s="161">
        <f>VLOOKUP($B11,'06.02 с мобил'!$B$6:$AK$50,30,0)</f>
        <v>0</v>
      </c>
      <c r="AJ11" s="45">
        <f>VLOOKUP($B11,'06.02 с мобил'!$B$6:$AK$50,31,0)</f>
        <v>0</v>
      </c>
      <c r="AK11" s="45">
        <f t="shared" si="6"/>
        <v>0</v>
      </c>
      <c r="AL11" s="53">
        <f>VLOOKUP($B11,'06.02 с мобил'!$B$6:$AK$50,33,0)-VLOOKUP($B11,'ФОТ по мобил.'!$B$6:$Q$49,14,0)</f>
        <v>4605.3</v>
      </c>
      <c r="AM11" s="53">
        <f>VLOOKUP($B11,'06.02 с мобил'!$B$6:$AK$50,34,0)/VLOOKUP($B11,'06.02 с мобил'!$B$6:$AK$50,33,0)*AL11</f>
        <v>1381.59</v>
      </c>
      <c r="AN11" s="47">
        <f t="shared" si="27"/>
        <v>5986.89</v>
      </c>
      <c r="AO11" s="149">
        <f>VLOOKUP($B11,'06.02 с мобил'!$B$6:$AK$50,36,0)</f>
        <v>0</v>
      </c>
      <c r="AP11" s="147">
        <f t="shared" si="17"/>
        <v>5986.89</v>
      </c>
      <c r="AQ11" s="161">
        <f>VLOOKUP($B11,'06.02 с мобил'!$B$6:$AK$50,30,0)</f>
        <v>0</v>
      </c>
      <c r="AR11" s="45">
        <f>VLOOKUP($B11,'06.02 с мобил'!$B$6:$AK$50,31,0)</f>
        <v>0</v>
      </c>
      <c r="AS11" s="45">
        <f t="shared" si="8"/>
        <v>0</v>
      </c>
      <c r="AT11" s="53">
        <f>VLOOKUP($B11,'06.02 с мобил'!$B$6:$AK$50,33,0)-VLOOKUP($B11,'ФОТ по мобил.'!$B$6:$Q$49,14,0)</f>
        <v>4605.3</v>
      </c>
      <c r="AU11" s="53">
        <f>VLOOKUP($B11,'06.02 с мобил'!$B$6:$AK$50,34,0)/VLOOKUP($B11,'06.02 с мобил'!$B$6:$AK$50,33,0)*AT11</f>
        <v>1381.59</v>
      </c>
      <c r="AV11" s="47">
        <f t="shared" si="28"/>
        <v>5986.89</v>
      </c>
      <c r="AW11" s="149">
        <f>VLOOKUP($B11,'06.02 с мобил'!$B$6:$AK$50,36,0)</f>
        <v>0</v>
      </c>
      <c r="AX11" s="147">
        <f t="shared" si="18"/>
        <v>5986.89</v>
      </c>
      <c r="AY11" s="161">
        <f>VLOOKUP($B11,'06.02 с мобил'!$B$6:$AK$50,30,0)</f>
        <v>0</v>
      </c>
      <c r="AZ11" s="45">
        <f>VLOOKUP($B11,'06.02 с мобил'!$B$6:$AK$50,31,0)</f>
        <v>0</v>
      </c>
      <c r="BA11" s="45">
        <f t="shared" si="10"/>
        <v>0</v>
      </c>
      <c r="BB11" s="53">
        <f>VLOOKUP($B11,'06.02 с мобил'!$B$6:$AK$50,33,0)-VLOOKUP($B11,'ФОТ по мобил.'!$B$6:$Q$49,14,0)</f>
        <v>4605.3</v>
      </c>
      <c r="BC11" s="53">
        <f>VLOOKUP($B11,'06.02 с мобил'!$B$6:$AK$50,34,0)/VLOOKUP($B11,'06.02 с мобил'!$B$6:$AK$50,33,0)*BB11</f>
        <v>1381.59</v>
      </c>
      <c r="BD11" s="47">
        <f t="shared" si="29"/>
        <v>5986.89</v>
      </c>
      <c r="BE11" s="149">
        <f>VLOOKUP($B11,'06.02 с мобил'!$B$6:$AK$50,36,0)</f>
        <v>0</v>
      </c>
      <c r="BF11" s="147">
        <f t="shared" si="19"/>
        <v>5986.89</v>
      </c>
    </row>
    <row r="12" spans="1:58" s="3" customFormat="1" ht="18.75" customHeight="1" hidden="1" outlineLevel="1">
      <c r="A12" s="159">
        <v>4</v>
      </c>
      <c r="B12" s="36" t="s">
        <v>68</v>
      </c>
      <c r="C12" s="45">
        <f t="shared" si="20"/>
        <v>0</v>
      </c>
      <c r="D12" s="45">
        <f t="shared" si="11"/>
        <v>0</v>
      </c>
      <c r="E12" s="45"/>
      <c r="F12" s="45">
        <f t="shared" si="21"/>
        <v>4570.7</v>
      </c>
      <c r="G12" s="45">
        <f t="shared" si="22"/>
        <v>1371.21</v>
      </c>
      <c r="H12" s="47">
        <f t="shared" si="23"/>
        <v>5941.91</v>
      </c>
      <c r="I12" s="148">
        <f t="shared" si="12"/>
        <v>0</v>
      </c>
      <c r="J12" s="147">
        <f t="shared" si="13"/>
        <v>5941.91</v>
      </c>
      <c r="K12" s="139">
        <f>VLOOKUP($B12,'06.02 с мобил'!$B$6:$AK$50,9,0)</f>
        <v>0</v>
      </c>
      <c r="L12" s="45">
        <f>VLOOKUP($B12,'06.02 с мобил'!$B$6:$AK$50,10,0)</f>
        <v>0</v>
      </c>
      <c r="M12" s="45">
        <f t="shared" si="0"/>
        <v>0</v>
      </c>
      <c r="N12" s="53">
        <f>VLOOKUP($B12,'06.02 с мобил'!$B$6:$AK$50,12,0)-VLOOKUP($B12,'ФОТ по мобил.'!$B$6:$Q$49,5,0)</f>
        <v>790.2</v>
      </c>
      <c r="O12" s="53">
        <f>VLOOKUP($B12,'06.02 с мобил'!$B$6:$AK$50,13,0)/VLOOKUP($B12,'06.02 с мобил'!$B$6:$AK$50,12,0)*N12</f>
        <v>237.06</v>
      </c>
      <c r="P12" s="47">
        <f t="shared" si="24"/>
        <v>1027.26</v>
      </c>
      <c r="Q12" s="149">
        <f>VLOOKUP($B12,'06.02 с мобил'!$B$6:$AK$50,15,0)</f>
        <v>0</v>
      </c>
      <c r="R12" s="147">
        <f t="shared" si="14"/>
        <v>1027.26</v>
      </c>
      <c r="S12" s="161">
        <f>VLOOKUP($B12,'06.02 с мобил'!$B$6:$AK$50,16,0)</f>
        <v>0</v>
      </c>
      <c r="T12" s="45">
        <f>VLOOKUP($B12,'06.02 с мобил'!$B$6:$AK$50,17,0)</f>
        <v>0</v>
      </c>
      <c r="U12" s="45">
        <f t="shared" si="2"/>
        <v>0</v>
      </c>
      <c r="V12" s="53">
        <f>VLOOKUP($B12,'06.02 с мобил'!$B$6:$AK$50,19,0)-VLOOKUP($B12,'ФОТ по мобил.'!$B$6:$Q$49,8,0)</f>
        <v>823.7</v>
      </c>
      <c r="W12" s="53">
        <f>VLOOKUP($B12,'06.02 с мобил'!$B$6:$AK$50,20,0)/VLOOKUP($B12,'06.02 с мобил'!$B$6:$AK$50,19,0)*V12</f>
        <v>247.11</v>
      </c>
      <c r="X12" s="47">
        <f t="shared" si="25"/>
        <v>1070.81</v>
      </c>
      <c r="Y12" s="149">
        <f>VLOOKUP($B12,'06.02 с мобил'!$B$6:$AK$50,22,0)</f>
        <v>0</v>
      </c>
      <c r="Z12" s="147">
        <f t="shared" si="15"/>
        <v>1070.81</v>
      </c>
      <c r="AA12" s="139">
        <f>VLOOKUP($B12,'06.02 с мобил'!$B$6:$AK$50,23,0)</f>
        <v>0</v>
      </c>
      <c r="AB12" s="45">
        <f>VLOOKUP($B12,'06.02 с мобил'!$B$6:$AK$50,24,0)</f>
        <v>0</v>
      </c>
      <c r="AC12" s="45">
        <f t="shared" si="4"/>
        <v>0</v>
      </c>
      <c r="AD12" s="53">
        <f>VLOOKUP($B12,'06.02 с мобил'!$B$6:$AK$50,26,0)-VLOOKUP($B12,'ФОТ по мобил.'!$B$6:$Q$49,11,0)</f>
        <v>739.2</v>
      </c>
      <c r="AE12" s="53">
        <f>VLOOKUP($B12,'06.02 с мобил'!$B$6:$AK$50,27,0)/VLOOKUP($B12,'06.02 с мобил'!$B$6:$AK$50,26,0)*AD12</f>
        <v>221.76000000000002</v>
      </c>
      <c r="AF12" s="47">
        <f t="shared" si="26"/>
        <v>960.96</v>
      </c>
      <c r="AG12" s="149">
        <f>VLOOKUP($B12,'06.02 с мобил'!$B$6:$AK$50,29,0)</f>
        <v>0</v>
      </c>
      <c r="AH12" s="147">
        <f t="shared" si="16"/>
        <v>960.96</v>
      </c>
      <c r="AI12" s="161">
        <f>VLOOKUP($B12,'06.02 с мобил'!$B$6:$AK$50,30,0)</f>
        <v>0</v>
      </c>
      <c r="AJ12" s="45">
        <f>VLOOKUP($B12,'06.02 с мобил'!$B$6:$AK$50,31,0)</f>
        <v>0</v>
      </c>
      <c r="AK12" s="45">
        <f t="shared" si="6"/>
        <v>0</v>
      </c>
      <c r="AL12" s="53">
        <f>VLOOKUP($B12,'06.02 с мобил'!$B$6:$AK$50,33,0)-VLOOKUP($B12,'ФОТ по мобил.'!$B$6:$Q$49,14,0)</f>
        <v>739.2</v>
      </c>
      <c r="AM12" s="53">
        <f>VLOOKUP($B12,'06.02 с мобил'!$B$6:$AK$50,34,0)/VLOOKUP($B12,'06.02 с мобил'!$B$6:$AK$50,33,0)*AL12</f>
        <v>221.76000000000002</v>
      </c>
      <c r="AN12" s="47">
        <f t="shared" si="27"/>
        <v>960.96</v>
      </c>
      <c r="AO12" s="149">
        <f>VLOOKUP($B12,'06.02 с мобил'!$B$6:$AK$50,36,0)</f>
        <v>0</v>
      </c>
      <c r="AP12" s="147">
        <f t="shared" si="17"/>
        <v>960.96</v>
      </c>
      <c r="AQ12" s="161">
        <f>VLOOKUP($B12,'06.02 с мобил'!$B$6:$AK$50,30,0)</f>
        <v>0</v>
      </c>
      <c r="AR12" s="45">
        <f>VLOOKUP($B12,'06.02 с мобил'!$B$6:$AK$50,31,0)</f>
        <v>0</v>
      </c>
      <c r="AS12" s="45">
        <f t="shared" si="8"/>
        <v>0</v>
      </c>
      <c r="AT12" s="53">
        <f>VLOOKUP($B12,'06.02 с мобил'!$B$6:$AK$50,33,0)-VLOOKUP($B12,'ФОТ по мобил.'!$B$6:$Q$49,14,0)</f>
        <v>739.2</v>
      </c>
      <c r="AU12" s="53">
        <f>VLOOKUP($B12,'06.02 с мобил'!$B$6:$AK$50,34,0)/VLOOKUP($B12,'06.02 с мобил'!$B$6:$AK$50,33,0)*AT12</f>
        <v>221.76000000000002</v>
      </c>
      <c r="AV12" s="47">
        <f t="shared" si="28"/>
        <v>960.96</v>
      </c>
      <c r="AW12" s="149">
        <f>VLOOKUP($B12,'06.02 с мобил'!$B$6:$AK$50,36,0)</f>
        <v>0</v>
      </c>
      <c r="AX12" s="147">
        <f t="shared" si="18"/>
        <v>960.96</v>
      </c>
      <c r="AY12" s="161">
        <f>VLOOKUP($B12,'06.02 с мобил'!$B$6:$AK$50,30,0)</f>
        <v>0</v>
      </c>
      <c r="AZ12" s="45">
        <f>VLOOKUP($B12,'06.02 с мобил'!$B$6:$AK$50,31,0)</f>
        <v>0</v>
      </c>
      <c r="BA12" s="45">
        <f t="shared" si="10"/>
        <v>0</v>
      </c>
      <c r="BB12" s="53">
        <f>VLOOKUP($B12,'06.02 с мобил'!$B$6:$AK$50,33,0)-VLOOKUP($B12,'ФОТ по мобил.'!$B$6:$Q$49,14,0)</f>
        <v>739.2</v>
      </c>
      <c r="BC12" s="53">
        <f>VLOOKUP($B12,'06.02 с мобил'!$B$6:$AK$50,34,0)/VLOOKUP($B12,'06.02 с мобил'!$B$6:$AK$50,33,0)*BB12</f>
        <v>221.76000000000002</v>
      </c>
      <c r="BD12" s="47">
        <f t="shared" si="29"/>
        <v>960.96</v>
      </c>
      <c r="BE12" s="149">
        <f>VLOOKUP($B12,'06.02 с мобил'!$B$6:$AK$50,36,0)</f>
        <v>0</v>
      </c>
      <c r="BF12" s="147">
        <f t="shared" si="19"/>
        <v>960.96</v>
      </c>
    </row>
    <row r="13" spans="1:58" s="3" customFormat="1" ht="18.75" customHeight="1" hidden="1" outlineLevel="1">
      <c r="A13" s="159">
        <v>5</v>
      </c>
      <c r="B13" s="36" t="s">
        <v>69</v>
      </c>
      <c r="C13" s="45">
        <f t="shared" si="20"/>
        <v>0</v>
      </c>
      <c r="D13" s="45">
        <f t="shared" si="11"/>
        <v>0</v>
      </c>
      <c r="E13" s="45"/>
      <c r="F13" s="45">
        <f t="shared" si="21"/>
        <v>2124.7000000000003</v>
      </c>
      <c r="G13" s="45">
        <f t="shared" si="22"/>
        <v>637.41</v>
      </c>
      <c r="H13" s="47">
        <f t="shared" si="23"/>
        <v>2762.11</v>
      </c>
      <c r="I13" s="148">
        <f t="shared" si="12"/>
        <v>0</v>
      </c>
      <c r="J13" s="147">
        <f t="shared" si="13"/>
        <v>2762.11</v>
      </c>
      <c r="K13" s="139">
        <f>VLOOKUP($B13,'06.02 с мобил'!$B$6:$AK$50,9,0)</f>
        <v>0</v>
      </c>
      <c r="L13" s="45">
        <f>VLOOKUP($B13,'06.02 с мобил'!$B$6:$AK$50,10,0)</f>
        <v>0</v>
      </c>
      <c r="M13" s="45">
        <f t="shared" si="0"/>
        <v>0</v>
      </c>
      <c r="N13" s="53">
        <f>VLOOKUP($B13,'06.02 с мобил'!$B$6:$AK$50,12,0)-VLOOKUP($B13,'ФОТ по мобил.'!$B$6:$Q$49,5,0)</f>
        <v>320.2</v>
      </c>
      <c r="O13" s="53">
        <f>VLOOKUP($B13,'06.02 с мобил'!$B$6:$AK$50,13,0)/VLOOKUP($B13,'06.02 с мобил'!$B$6:$AK$50,12,0)*N13</f>
        <v>96.05999999999999</v>
      </c>
      <c r="P13" s="47">
        <f t="shared" si="24"/>
        <v>416.26</v>
      </c>
      <c r="Q13" s="149">
        <f>VLOOKUP($B13,'06.02 с мобил'!$B$6:$AK$50,15,0)</f>
        <v>0</v>
      </c>
      <c r="R13" s="147">
        <f t="shared" si="14"/>
        <v>416.26</v>
      </c>
      <c r="S13" s="161">
        <f>VLOOKUP($B13,'06.02 с мобил'!$B$6:$AK$50,16,0)</f>
        <v>0</v>
      </c>
      <c r="T13" s="45">
        <f>VLOOKUP($B13,'06.02 с мобил'!$B$6:$AK$50,17,0)</f>
        <v>0</v>
      </c>
      <c r="U13" s="45">
        <f t="shared" si="2"/>
        <v>0</v>
      </c>
      <c r="V13" s="53">
        <f>VLOOKUP($B13,'06.02 с мобил'!$B$6:$AK$50,19,0)-VLOOKUP($B13,'ФОТ по мобил.'!$B$6:$Q$49,8,0)</f>
        <v>360.9</v>
      </c>
      <c r="W13" s="53">
        <f>VLOOKUP($B13,'06.02 с мобил'!$B$6:$AK$50,20,0)/VLOOKUP($B13,'06.02 с мобил'!$B$6:$AK$50,19,0)*V13</f>
        <v>108.27</v>
      </c>
      <c r="X13" s="47">
        <f t="shared" si="25"/>
        <v>469.16999999999996</v>
      </c>
      <c r="Y13" s="149">
        <f>VLOOKUP($B13,'06.02 с мобил'!$B$6:$AK$50,22,0)</f>
        <v>0</v>
      </c>
      <c r="Z13" s="147">
        <f t="shared" si="15"/>
        <v>469.16999999999996</v>
      </c>
      <c r="AA13" s="139">
        <f>VLOOKUP($B13,'06.02 с мобил'!$B$6:$AK$50,23,0)</f>
        <v>0</v>
      </c>
      <c r="AB13" s="45">
        <f>VLOOKUP($B13,'06.02 с мобил'!$B$6:$AK$50,24,0)</f>
        <v>0</v>
      </c>
      <c r="AC13" s="45">
        <f t="shared" si="4"/>
        <v>0</v>
      </c>
      <c r="AD13" s="53">
        <f>VLOOKUP($B13,'06.02 с мобил'!$B$6:$AK$50,26,0)-VLOOKUP($B13,'ФОТ по мобил.'!$B$6:$Q$49,11,0)</f>
        <v>360.9</v>
      </c>
      <c r="AE13" s="53">
        <f>VLOOKUP($B13,'06.02 с мобил'!$B$6:$AK$50,27,0)/VLOOKUP($B13,'06.02 с мобил'!$B$6:$AK$50,26,0)*AD13</f>
        <v>108.27</v>
      </c>
      <c r="AF13" s="47">
        <f t="shared" si="26"/>
        <v>469.16999999999996</v>
      </c>
      <c r="AG13" s="149">
        <f>VLOOKUP($B13,'06.02 с мобил'!$B$6:$AK$50,29,0)</f>
        <v>0</v>
      </c>
      <c r="AH13" s="147">
        <f t="shared" si="16"/>
        <v>469.16999999999996</v>
      </c>
      <c r="AI13" s="161">
        <f>VLOOKUP($B13,'06.02 с мобил'!$B$6:$AK$50,30,0)</f>
        <v>0</v>
      </c>
      <c r="AJ13" s="45">
        <f>VLOOKUP($B13,'06.02 с мобил'!$B$6:$AK$50,31,0)</f>
        <v>0</v>
      </c>
      <c r="AK13" s="45">
        <f t="shared" si="6"/>
        <v>0</v>
      </c>
      <c r="AL13" s="53">
        <f>VLOOKUP($B13,'06.02 с мобил'!$B$6:$AK$50,33,0)-VLOOKUP($B13,'ФОТ по мобил.'!$B$6:$Q$49,14,0)</f>
        <v>360.9</v>
      </c>
      <c r="AM13" s="53">
        <f>VLOOKUP($B13,'06.02 с мобил'!$B$6:$AK$50,34,0)/VLOOKUP($B13,'06.02 с мобил'!$B$6:$AK$50,33,0)*AL13</f>
        <v>108.27</v>
      </c>
      <c r="AN13" s="47">
        <f t="shared" si="27"/>
        <v>469.16999999999996</v>
      </c>
      <c r="AO13" s="149">
        <f>VLOOKUP($B13,'06.02 с мобил'!$B$6:$AK$50,36,0)</f>
        <v>0</v>
      </c>
      <c r="AP13" s="147">
        <f t="shared" si="17"/>
        <v>469.16999999999996</v>
      </c>
      <c r="AQ13" s="161">
        <f>VLOOKUP($B13,'06.02 с мобил'!$B$6:$AK$50,30,0)</f>
        <v>0</v>
      </c>
      <c r="AR13" s="45">
        <f>VLOOKUP($B13,'06.02 с мобил'!$B$6:$AK$50,31,0)</f>
        <v>0</v>
      </c>
      <c r="AS13" s="45">
        <f t="shared" si="8"/>
        <v>0</v>
      </c>
      <c r="AT13" s="53">
        <f>VLOOKUP($B13,'06.02 с мобил'!$B$6:$AK$50,33,0)-VLOOKUP($B13,'ФОТ по мобил.'!$B$6:$Q$49,14,0)</f>
        <v>360.9</v>
      </c>
      <c r="AU13" s="53">
        <f>VLOOKUP($B13,'06.02 с мобил'!$B$6:$AK$50,34,0)/VLOOKUP($B13,'06.02 с мобил'!$B$6:$AK$50,33,0)*AT13</f>
        <v>108.27</v>
      </c>
      <c r="AV13" s="47">
        <f t="shared" si="28"/>
        <v>469.16999999999996</v>
      </c>
      <c r="AW13" s="149">
        <f>VLOOKUP($B13,'06.02 с мобил'!$B$6:$AK$50,36,0)</f>
        <v>0</v>
      </c>
      <c r="AX13" s="147">
        <f t="shared" si="18"/>
        <v>469.16999999999996</v>
      </c>
      <c r="AY13" s="161">
        <f>VLOOKUP($B13,'06.02 с мобил'!$B$6:$AK$50,30,0)</f>
        <v>0</v>
      </c>
      <c r="AZ13" s="45">
        <f>VLOOKUP($B13,'06.02 с мобил'!$B$6:$AK$50,31,0)</f>
        <v>0</v>
      </c>
      <c r="BA13" s="45">
        <f t="shared" si="10"/>
        <v>0</v>
      </c>
      <c r="BB13" s="53">
        <f>VLOOKUP($B13,'06.02 с мобил'!$B$6:$AK$50,33,0)-VLOOKUP($B13,'ФОТ по мобил.'!$B$6:$Q$49,14,0)</f>
        <v>360.9</v>
      </c>
      <c r="BC13" s="53">
        <f>VLOOKUP($B13,'06.02 с мобил'!$B$6:$AK$50,34,0)/VLOOKUP($B13,'06.02 с мобил'!$B$6:$AK$50,33,0)*BB13</f>
        <v>108.27</v>
      </c>
      <c r="BD13" s="47">
        <f t="shared" si="29"/>
        <v>469.16999999999996</v>
      </c>
      <c r="BE13" s="149">
        <f>VLOOKUP($B13,'06.02 с мобил'!$B$6:$AK$50,36,0)</f>
        <v>0</v>
      </c>
      <c r="BF13" s="147">
        <f t="shared" si="19"/>
        <v>469.16999999999996</v>
      </c>
    </row>
    <row r="14" spans="1:58" s="3" customFormat="1" ht="18.75" customHeight="1" hidden="1" outlineLevel="1">
      <c r="A14" s="159">
        <v>6</v>
      </c>
      <c r="B14" s="36" t="s">
        <v>70</v>
      </c>
      <c r="C14" s="45">
        <f t="shared" si="20"/>
        <v>0</v>
      </c>
      <c r="D14" s="45">
        <f t="shared" si="11"/>
        <v>0</v>
      </c>
      <c r="E14" s="45"/>
      <c r="F14" s="45">
        <f t="shared" si="21"/>
        <v>6590</v>
      </c>
      <c r="G14" s="45">
        <f t="shared" si="22"/>
        <v>1976.9999999999998</v>
      </c>
      <c r="H14" s="47">
        <f t="shared" si="23"/>
        <v>8567</v>
      </c>
      <c r="I14" s="148">
        <f t="shared" si="12"/>
        <v>0</v>
      </c>
      <c r="J14" s="147">
        <f t="shared" si="13"/>
        <v>8567</v>
      </c>
      <c r="K14" s="139">
        <f>VLOOKUP($B14,'06.02 с мобил'!$B$6:$AK$50,9,0)</f>
        <v>0</v>
      </c>
      <c r="L14" s="45">
        <f>VLOOKUP($B14,'06.02 с мобил'!$B$6:$AK$50,10,0)</f>
        <v>0</v>
      </c>
      <c r="M14" s="45">
        <f t="shared" si="0"/>
        <v>0</v>
      </c>
      <c r="N14" s="53">
        <f>VLOOKUP($B14,'06.02 с мобил'!$B$6:$AK$50,12,0)-VLOOKUP($B14,'ФОТ по мобил.'!$B$6:$Q$49,5,0)</f>
        <v>812.3</v>
      </c>
      <c r="O14" s="53">
        <f>VLOOKUP($B14,'06.02 с мобил'!$B$6:$AK$50,13,0)/VLOOKUP($B14,'06.02 с мобил'!$B$6:$AK$50,12,0)*N14</f>
        <v>243.68999999999997</v>
      </c>
      <c r="P14" s="47">
        <f t="shared" si="24"/>
        <v>1055.99</v>
      </c>
      <c r="Q14" s="149">
        <f>VLOOKUP($B14,'06.02 с мобил'!$B$6:$AK$50,15,0)</f>
        <v>0</v>
      </c>
      <c r="R14" s="147">
        <f t="shared" si="14"/>
        <v>1055.99</v>
      </c>
      <c r="S14" s="161">
        <f>VLOOKUP($B14,'06.02 с мобил'!$B$6:$AK$50,16,0)</f>
        <v>0</v>
      </c>
      <c r="T14" s="45">
        <f>VLOOKUP($B14,'06.02 с мобил'!$B$6:$AK$50,17,0)</f>
        <v>0</v>
      </c>
      <c r="U14" s="45">
        <f t="shared" si="2"/>
        <v>0</v>
      </c>
      <c r="V14" s="53">
        <f>VLOOKUP($B14,'06.02 с мобил'!$B$6:$AK$50,19,0)-VLOOKUP($B14,'ФОТ по мобил.'!$B$6:$Q$49,8,0)</f>
        <v>1107.7</v>
      </c>
      <c r="W14" s="53">
        <f>VLOOKUP($B14,'06.02 с мобил'!$B$6:$AK$50,20,0)/VLOOKUP($B14,'06.02 с мобил'!$B$6:$AK$50,19,0)*V14</f>
        <v>332.31</v>
      </c>
      <c r="X14" s="47">
        <f t="shared" si="25"/>
        <v>1440.01</v>
      </c>
      <c r="Y14" s="149">
        <f>VLOOKUP($B14,'06.02 с мобил'!$B$6:$AK$50,22,0)</f>
        <v>0</v>
      </c>
      <c r="Z14" s="147">
        <f t="shared" si="15"/>
        <v>1440.01</v>
      </c>
      <c r="AA14" s="139">
        <f>VLOOKUP($B14,'06.02 с мобил'!$B$6:$AK$50,23,0)</f>
        <v>0</v>
      </c>
      <c r="AB14" s="45">
        <f>VLOOKUP($B14,'06.02 с мобил'!$B$6:$AK$50,24,0)</f>
        <v>0</v>
      </c>
      <c r="AC14" s="45">
        <f t="shared" si="4"/>
        <v>0</v>
      </c>
      <c r="AD14" s="53">
        <f>VLOOKUP($B14,'06.02 с мобил'!$B$6:$AK$50,26,0)-VLOOKUP($B14,'ФОТ по мобил.'!$B$6:$Q$49,11,0)</f>
        <v>1204.4</v>
      </c>
      <c r="AE14" s="53">
        <f>VLOOKUP($B14,'06.02 с мобил'!$B$6:$AK$50,27,0)/VLOOKUP($B14,'06.02 с мобил'!$B$6:$AK$50,26,0)*AD14</f>
        <v>361.32</v>
      </c>
      <c r="AF14" s="47">
        <f t="shared" si="26"/>
        <v>1565.72</v>
      </c>
      <c r="AG14" s="149">
        <f>VLOOKUP($B14,'06.02 с мобил'!$B$6:$AK$50,29,0)</f>
        <v>0</v>
      </c>
      <c r="AH14" s="147">
        <f t="shared" si="16"/>
        <v>1565.72</v>
      </c>
      <c r="AI14" s="161">
        <f>VLOOKUP($B14,'06.02 с мобил'!$B$6:$AK$50,30,0)</f>
        <v>0</v>
      </c>
      <c r="AJ14" s="45">
        <f>VLOOKUP($B14,'06.02 с мобил'!$B$6:$AK$50,31,0)</f>
        <v>0</v>
      </c>
      <c r="AK14" s="45">
        <f t="shared" si="6"/>
        <v>0</v>
      </c>
      <c r="AL14" s="53">
        <f>VLOOKUP($B14,'06.02 с мобил'!$B$6:$AK$50,33,0)-VLOOKUP($B14,'ФОТ по мобил.'!$B$6:$Q$49,14,0)</f>
        <v>1155.2</v>
      </c>
      <c r="AM14" s="53">
        <f>VLOOKUP($B14,'06.02 с мобил'!$B$6:$AK$50,34,0)/VLOOKUP($B14,'06.02 с мобил'!$B$6:$AK$50,33,0)*AL14</f>
        <v>346.56</v>
      </c>
      <c r="AN14" s="47">
        <f t="shared" si="27"/>
        <v>1501.76</v>
      </c>
      <c r="AO14" s="149">
        <f>VLOOKUP($B14,'06.02 с мобил'!$B$6:$AK$50,36,0)</f>
        <v>0</v>
      </c>
      <c r="AP14" s="147">
        <f t="shared" si="17"/>
        <v>1501.76</v>
      </c>
      <c r="AQ14" s="161">
        <f>VLOOKUP($B14,'06.02 с мобил'!$B$6:$AK$50,30,0)</f>
        <v>0</v>
      </c>
      <c r="AR14" s="45">
        <f>VLOOKUP($B14,'06.02 с мобил'!$B$6:$AK$50,31,0)</f>
        <v>0</v>
      </c>
      <c r="AS14" s="45">
        <f t="shared" si="8"/>
        <v>0</v>
      </c>
      <c r="AT14" s="53">
        <f>VLOOKUP($B14,'06.02 с мобил'!$B$6:$AK$50,33,0)-VLOOKUP($B14,'ФОТ по мобил.'!$B$6:$Q$49,14,0)</f>
        <v>1155.2</v>
      </c>
      <c r="AU14" s="53">
        <f>VLOOKUP($B14,'06.02 с мобил'!$B$6:$AK$50,34,0)/VLOOKUP($B14,'06.02 с мобил'!$B$6:$AK$50,33,0)*AT14</f>
        <v>346.56</v>
      </c>
      <c r="AV14" s="47">
        <f t="shared" si="28"/>
        <v>1501.76</v>
      </c>
      <c r="AW14" s="149">
        <f>VLOOKUP($B14,'06.02 с мобил'!$B$6:$AK$50,36,0)</f>
        <v>0</v>
      </c>
      <c r="AX14" s="147">
        <f t="shared" si="18"/>
        <v>1501.76</v>
      </c>
      <c r="AY14" s="161">
        <f>VLOOKUP($B14,'06.02 с мобил'!$B$6:$AK$50,30,0)</f>
        <v>0</v>
      </c>
      <c r="AZ14" s="45">
        <f>VLOOKUP($B14,'06.02 с мобил'!$B$6:$AK$50,31,0)</f>
        <v>0</v>
      </c>
      <c r="BA14" s="45">
        <f t="shared" si="10"/>
        <v>0</v>
      </c>
      <c r="BB14" s="53">
        <f>VLOOKUP($B14,'06.02 с мобил'!$B$6:$AK$50,33,0)-VLOOKUP($B14,'ФОТ по мобил.'!$B$6:$Q$49,14,0)</f>
        <v>1155.2</v>
      </c>
      <c r="BC14" s="53">
        <f>VLOOKUP($B14,'06.02 с мобил'!$B$6:$AK$50,34,0)/VLOOKUP($B14,'06.02 с мобил'!$B$6:$AK$50,33,0)*BB14</f>
        <v>346.56</v>
      </c>
      <c r="BD14" s="47">
        <f t="shared" si="29"/>
        <v>1501.76</v>
      </c>
      <c r="BE14" s="149">
        <f>VLOOKUP($B14,'06.02 с мобил'!$B$6:$AK$50,36,0)</f>
        <v>0</v>
      </c>
      <c r="BF14" s="147">
        <f t="shared" si="19"/>
        <v>1501.76</v>
      </c>
    </row>
    <row r="15" spans="1:58" s="3" customFormat="1" ht="18.75" customHeight="1" hidden="1" outlineLevel="1">
      <c r="A15" s="159">
        <v>7</v>
      </c>
      <c r="B15" s="36" t="s">
        <v>71</v>
      </c>
      <c r="C15" s="45">
        <f t="shared" si="20"/>
        <v>0</v>
      </c>
      <c r="D15" s="45">
        <f t="shared" si="11"/>
        <v>0</v>
      </c>
      <c r="E15" s="45"/>
      <c r="F15" s="45">
        <f t="shared" si="21"/>
        <v>7986</v>
      </c>
      <c r="G15" s="45">
        <f t="shared" si="22"/>
        <v>2395.8</v>
      </c>
      <c r="H15" s="47">
        <f t="shared" si="23"/>
        <v>10381.8</v>
      </c>
      <c r="I15" s="148">
        <f t="shared" si="12"/>
        <v>0</v>
      </c>
      <c r="J15" s="147">
        <f t="shared" si="13"/>
        <v>10381.8</v>
      </c>
      <c r="K15" s="139">
        <f>VLOOKUP($B15,'06.02 с мобил'!$B$6:$AK$50,9,0)</f>
        <v>0</v>
      </c>
      <c r="L15" s="45">
        <f>VLOOKUP($B15,'06.02 с мобил'!$B$6:$AK$50,10,0)</f>
        <v>0</v>
      </c>
      <c r="M15" s="45">
        <f t="shared" si="0"/>
        <v>0</v>
      </c>
      <c r="N15" s="53">
        <f>VLOOKUP($B15,'06.02 с мобил'!$B$6:$AK$50,12,0)-VLOOKUP($B15,'ФОТ по мобил.'!$B$6:$Q$49,5,0)</f>
        <v>1196</v>
      </c>
      <c r="O15" s="53">
        <f>VLOOKUP($B15,'06.02 с мобил'!$B$6:$AK$50,13,0)/VLOOKUP($B15,'06.02 с мобил'!$B$6:$AK$50,12,0)*N15</f>
        <v>358.8</v>
      </c>
      <c r="P15" s="47">
        <f t="shared" si="24"/>
        <v>1554.8</v>
      </c>
      <c r="Q15" s="149">
        <f>VLOOKUP($B15,'06.02 с мобил'!$B$6:$AK$50,15,0)</f>
        <v>0</v>
      </c>
      <c r="R15" s="147">
        <f t="shared" si="14"/>
        <v>1554.8</v>
      </c>
      <c r="S15" s="161">
        <f>VLOOKUP($B15,'06.02 с мобил'!$B$6:$AK$50,16,0)</f>
        <v>0</v>
      </c>
      <c r="T15" s="45">
        <f>VLOOKUP($B15,'06.02 с мобил'!$B$6:$AK$50,17,0)</f>
        <v>0</v>
      </c>
      <c r="U15" s="45">
        <f t="shared" si="2"/>
        <v>0</v>
      </c>
      <c r="V15" s="53">
        <f>VLOOKUP($B15,'06.02 с мобил'!$B$6:$AK$50,19,0)-VLOOKUP($B15,'ФОТ по мобил.'!$B$6:$Q$49,8,0)</f>
        <v>1320</v>
      </c>
      <c r="W15" s="53">
        <f>VLOOKUP($B15,'06.02 с мобил'!$B$6:$AK$50,20,0)/VLOOKUP($B15,'06.02 с мобил'!$B$6:$AK$50,19,0)*V15</f>
        <v>396</v>
      </c>
      <c r="X15" s="47">
        <f t="shared" si="25"/>
        <v>1716</v>
      </c>
      <c r="Y15" s="149">
        <f>VLOOKUP($B15,'06.02 с мобил'!$B$6:$AK$50,22,0)</f>
        <v>0</v>
      </c>
      <c r="Z15" s="147">
        <f t="shared" si="15"/>
        <v>1716</v>
      </c>
      <c r="AA15" s="139">
        <f>VLOOKUP($B15,'06.02 с мобил'!$B$6:$AK$50,23,0)</f>
        <v>0</v>
      </c>
      <c r="AB15" s="45">
        <f>VLOOKUP($B15,'06.02 с мобил'!$B$6:$AK$50,24,0)</f>
        <v>0</v>
      </c>
      <c r="AC15" s="45">
        <f t="shared" si="4"/>
        <v>0</v>
      </c>
      <c r="AD15" s="53">
        <f>VLOOKUP($B15,'06.02 с мобил'!$B$6:$AK$50,26,0)-VLOOKUP($B15,'ФОТ по мобил.'!$B$6:$Q$49,11,0)</f>
        <v>1330</v>
      </c>
      <c r="AE15" s="53">
        <f>VLOOKUP($B15,'06.02 с мобил'!$B$6:$AK$50,27,0)/VLOOKUP($B15,'06.02 с мобил'!$B$6:$AK$50,26,0)*AD15</f>
        <v>399</v>
      </c>
      <c r="AF15" s="47">
        <f t="shared" si="26"/>
        <v>1729</v>
      </c>
      <c r="AG15" s="149">
        <f>VLOOKUP($B15,'06.02 с мобил'!$B$6:$AK$50,29,0)</f>
        <v>0</v>
      </c>
      <c r="AH15" s="147">
        <f t="shared" si="16"/>
        <v>1729</v>
      </c>
      <c r="AI15" s="161">
        <f>VLOOKUP($B15,'06.02 с мобил'!$B$6:$AK$50,30,0)</f>
        <v>0</v>
      </c>
      <c r="AJ15" s="45">
        <f>VLOOKUP($B15,'06.02 с мобил'!$B$6:$AK$50,31,0)</f>
        <v>0</v>
      </c>
      <c r="AK15" s="45">
        <f t="shared" si="6"/>
        <v>0</v>
      </c>
      <c r="AL15" s="53">
        <f>VLOOKUP($B15,'06.02 с мобил'!$B$6:$AK$50,33,0)-VLOOKUP($B15,'ФОТ по мобил.'!$B$6:$Q$49,14,0)</f>
        <v>1380</v>
      </c>
      <c r="AM15" s="53">
        <f>VLOOKUP($B15,'06.02 с мобил'!$B$6:$AK$50,34,0)/VLOOKUP($B15,'06.02 с мобил'!$B$6:$AK$50,33,0)*AL15</f>
        <v>414</v>
      </c>
      <c r="AN15" s="47">
        <f t="shared" si="27"/>
        <v>1794</v>
      </c>
      <c r="AO15" s="149">
        <f>VLOOKUP($B15,'06.02 с мобил'!$B$6:$AK$50,36,0)</f>
        <v>0</v>
      </c>
      <c r="AP15" s="147">
        <f t="shared" si="17"/>
        <v>1794</v>
      </c>
      <c r="AQ15" s="161">
        <f>VLOOKUP($B15,'06.02 с мобил'!$B$6:$AK$50,30,0)</f>
        <v>0</v>
      </c>
      <c r="AR15" s="45">
        <f>VLOOKUP($B15,'06.02 с мобил'!$B$6:$AK$50,31,0)</f>
        <v>0</v>
      </c>
      <c r="AS15" s="45">
        <f t="shared" si="8"/>
        <v>0</v>
      </c>
      <c r="AT15" s="53">
        <f>VLOOKUP($B15,'06.02 с мобил'!$B$6:$AK$50,33,0)-VLOOKUP($B15,'ФОТ по мобил.'!$B$6:$Q$49,14,0)</f>
        <v>1380</v>
      </c>
      <c r="AU15" s="53">
        <f>VLOOKUP($B15,'06.02 с мобил'!$B$6:$AK$50,34,0)/VLOOKUP($B15,'06.02 с мобил'!$B$6:$AK$50,33,0)*AT15</f>
        <v>414</v>
      </c>
      <c r="AV15" s="47">
        <f t="shared" si="28"/>
        <v>1794</v>
      </c>
      <c r="AW15" s="149">
        <f>VLOOKUP($B15,'06.02 с мобил'!$B$6:$AK$50,36,0)</f>
        <v>0</v>
      </c>
      <c r="AX15" s="147">
        <f t="shared" si="18"/>
        <v>1794</v>
      </c>
      <c r="AY15" s="161">
        <f>VLOOKUP($B15,'06.02 с мобил'!$B$6:$AK$50,30,0)</f>
        <v>0</v>
      </c>
      <c r="AZ15" s="45">
        <f>VLOOKUP($B15,'06.02 с мобил'!$B$6:$AK$50,31,0)</f>
        <v>0</v>
      </c>
      <c r="BA15" s="45">
        <f t="shared" si="10"/>
        <v>0</v>
      </c>
      <c r="BB15" s="53">
        <f>VLOOKUP($B15,'06.02 с мобил'!$B$6:$AK$50,33,0)-VLOOKUP($B15,'ФОТ по мобил.'!$B$6:$Q$49,14,0)</f>
        <v>1380</v>
      </c>
      <c r="BC15" s="53">
        <f>VLOOKUP($B15,'06.02 с мобил'!$B$6:$AK$50,34,0)/VLOOKUP($B15,'06.02 с мобил'!$B$6:$AK$50,33,0)*BB15</f>
        <v>414</v>
      </c>
      <c r="BD15" s="47">
        <f t="shared" si="29"/>
        <v>1794</v>
      </c>
      <c r="BE15" s="149">
        <f>VLOOKUP($B15,'06.02 с мобил'!$B$6:$AK$50,36,0)</f>
        <v>0</v>
      </c>
      <c r="BF15" s="147">
        <f t="shared" si="19"/>
        <v>1794</v>
      </c>
    </row>
    <row r="16" spans="1:58" s="3" customFormat="1" ht="18.75" customHeight="1" hidden="1" outlineLevel="1">
      <c r="A16" s="159">
        <v>8</v>
      </c>
      <c r="B16" s="36" t="s">
        <v>72</v>
      </c>
      <c r="C16" s="45">
        <f t="shared" si="20"/>
        <v>0</v>
      </c>
      <c r="D16" s="45">
        <f t="shared" si="11"/>
        <v>0</v>
      </c>
      <c r="E16" s="45"/>
      <c r="F16" s="45">
        <f t="shared" si="21"/>
        <v>839.4</v>
      </c>
      <c r="G16" s="45">
        <f t="shared" si="22"/>
        <v>251.82</v>
      </c>
      <c r="H16" s="47">
        <f t="shared" si="23"/>
        <v>1091.22</v>
      </c>
      <c r="I16" s="148">
        <f t="shared" si="12"/>
        <v>0</v>
      </c>
      <c r="J16" s="147">
        <f t="shared" si="13"/>
        <v>1091.22</v>
      </c>
      <c r="K16" s="139">
        <f>VLOOKUP($B16,'06.02 с мобил'!$B$6:$AK$50,9,0)</f>
        <v>0</v>
      </c>
      <c r="L16" s="45">
        <f>VLOOKUP($B16,'06.02 с мобил'!$B$6:$AK$50,10,0)</f>
        <v>0</v>
      </c>
      <c r="M16" s="45">
        <f t="shared" si="0"/>
        <v>0</v>
      </c>
      <c r="N16" s="53">
        <f>VLOOKUP($B16,'06.02 с мобил'!$B$6:$AK$50,12,0)-VLOOKUP($B16,'ФОТ по мобил.'!$B$6:$Q$49,5,0)</f>
        <v>139.9</v>
      </c>
      <c r="O16" s="53">
        <f>VLOOKUP($B16,'06.02 с мобил'!$B$6:$AK$50,13,0)/VLOOKUP($B16,'06.02 с мобил'!$B$6:$AK$50,12,0)*N16</f>
        <v>41.97</v>
      </c>
      <c r="P16" s="47">
        <f t="shared" si="24"/>
        <v>181.87</v>
      </c>
      <c r="Q16" s="149">
        <f>VLOOKUP($B16,'06.02 с мобил'!$B$6:$AK$50,15,0)</f>
        <v>0</v>
      </c>
      <c r="R16" s="147">
        <f t="shared" si="14"/>
        <v>181.87</v>
      </c>
      <c r="S16" s="161">
        <f>VLOOKUP($B16,'06.02 с мобил'!$B$6:$AK$50,16,0)</f>
        <v>0</v>
      </c>
      <c r="T16" s="45">
        <f>VLOOKUP($B16,'06.02 с мобил'!$B$6:$AK$50,17,0)</f>
        <v>0</v>
      </c>
      <c r="U16" s="45">
        <f t="shared" si="2"/>
        <v>0</v>
      </c>
      <c r="V16" s="53">
        <f>VLOOKUP($B16,'06.02 с мобил'!$B$6:$AK$50,19,0)-VLOOKUP($B16,'ФОТ по мобил.'!$B$6:$Q$49,8,0)</f>
        <v>139.9</v>
      </c>
      <c r="W16" s="53">
        <f>VLOOKUP($B16,'06.02 с мобил'!$B$6:$AK$50,20,0)/VLOOKUP($B16,'06.02 с мобил'!$B$6:$AK$50,19,0)*V16</f>
        <v>41.97</v>
      </c>
      <c r="X16" s="47">
        <f t="shared" si="25"/>
        <v>181.87</v>
      </c>
      <c r="Y16" s="149">
        <f>VLOOKUP($B16,'06.02 с мобил'!$B$6:$AK$50,22,0)</f>
        <v>0</v>
      </c>
      <c r="Z16" s="147">
        <f t="shared" si="15"/>
        <v>181.87</v>
      </c>
      <c r="AA16" s="139">
        <f>VLOOKUP($B16,'06.02 с мобил'!$B$6:$AK$50,23,0)</f>
        <v>0</v>
      </c>
      <c r="AB16" s="45">
        <f>VLOOKUP($B16,'06.02 с мобил'!$B$6:$AK$50,24,0)</f>
        <v>0</v>
      </c>
      <c r="AC16" s="45">
        <f t="shared" si="4"/>
        <v>0</v>
      </c>
      <c r="AD16" s="53">
        <f>VLOOKUP($B16,'06.02 с мобил'!$B$6:$AK$50,26,0)-VLOOKUP($B16,'ФОТ по мобил.'!$B$6:$Q$49,11,0)</f>
        <v>139.9</v>
      </c>
      <c r="AE16" s="53">
        <f>VLOOKUP($B16,'06.02 с мобил'!$B$6:$AK$50,27,0)/VLOOKUP($B16,'06.02 с мобил'!$B$6:$AK$50,26,0)*AD16</f>
        <v>41.97</v>
      </c>
      <c r="AF16" s="47">
        <f t="shared" si="26"/>
        <v>181.87</v>
      </c>
      <c r="AG16" s="149">
        <f>VLOOKUP($B16,'06.02 с мобил'!$B$6:$AK$50,29,0)</f>
        <v>0</v>
      </c>
      <c r="AH16" s="147">
        <f t="shared" si="16"/>
        <v>181.87</v>
      </c>
      <c r="AI16" s="161">
        <f>VLOOKUP($B16,'06.02 с мобил'!$B$6:$AK$50,30,0)</f>
        <v>0</v>
      </c>
      <c r="AJ16" s="45">
        <f>VLOOKUP($B16,'06.02 с мобил'!$B$6:$AK$50,31,0)</f>
        <v>0</v>
      </c>
      <c r="AK16" s="45">
        <f t="shared" si="6"/>
        <v>0</v>
      </c>
      <c r="AL16" s="53">
        <f>VLOOKUP($B16,'06.02 с мобил'!$B$6:$AK$50,33,0)-VLOOKUP($B16,'ФОТ по мобил.'!$B$6:$Q$49,14,0)</f>
        <v>139.9</v>
      </c>
      <c r="AM16" s="53">
        <f>VLOOKUP($B16,'06.02 с мобил'!$B$6:$AK$50,34,0)/VLOOKUP($B16,'06.02 с мобил'!$B$6:$AK$50,33,0)*AL16</f>
        <v>41.97</v>
      </c>
      <c r="AN16" s="47">
        <f t="shared" si="27"/>
        <v>181.87</v>
      </c>
      <c r="AO16" s="149">
        <f>VLOOKUP($B16,'06.02 с мобил'!$B$6:$AK$50,36,0)</f>
        <v>0</v>
      </c>
      <c r="AP16" s="147">
        <f t="shared" si="17"/>
        <v>181.87</v>
      </c>
      <c r="AQ16" s="161">
        <f>VLOOKUP($B16,'06.02 с мобил'!$B$6:$AK$50,30,0)</f>
        <v>0</v>
      </c>
      <c r="AR16" s="45">
        <f>VLOOKUP($B16,'06.02 с мобил'!$B$6:$AK$50,31,0)</f>
        <v>0</v>
      </c>
      <c r="AS16" s="45">
        <f t="shared" si="8"/>
        <v>0</v>
      </c>
      <c r="AT16" s="53">
        <f>VLOOKUP($B16,'06.02 с мобил'!$B$6:$AK$50,33,0)-VLOOKUP($B16,'ФОТ по мобил.'!$B$6:$Q$49,14,0)</f>
        <v>139.9</v>
      </c>
      <c r="AU16" s="53">
        <f>VLOOKUP($B16,'06.02 с мобил'!$B$6:$AK$50,34,0)/VLOOKUP($B16,'06.02 с мобил'!$B$6:$AK$50,33,0)*AT16</f>
        <v>41.97</v>
      </c>
      <c r="AV16" s="47">
        <f t="shared" si="28"/>
        <v>181.87</v>
      </c>
      <c r="AW16" s="149">
        <f>VLOOKUP($B16,'06.02 с мобил'!$B$6:$AK$50,36,0)</f>
        <v>0</v>
      </c>
      <c r="AX16" s="147">
        <f t="shared" si="18"/>
        <v>181.87</v>
      </c>
      <c r="AY16" s="161">
        <f>VLOOKUP($B16,'06.02 с мобил'!$B$6:$AK$50,30,0)</f>
        <v>0</v>
      </c>
      <c r="AZ16" s="45">
        <f>VLOOKUP($B16,'06.02 с мобил'!$B$6:$AK$50,31,0)</f>
        <v>0</v>
      </c>
      <c r="BA16" s="45">
        <f t="shared" si="10"/>
        <v>0</v>
      </c>
      <c r="BB16" s="53">
        <f>VLOOKUP($B16,'06.02 с мобил'!$B$6:$AK$50,33,0)-VLOOKUP($B16,'ФОТ по мобил.'!$B$6:$Q$49,14,0)</f>
        <v>139.9</v>
      </c>
      <c r="BC16" s="53">
        <f>VLOOKUP($B16,'06.02 с мобил'!$B$6:$AK$50,34,0)/VLOOKUP($B16,'06.02 с мобил'!$B$6:$AK$50,33,0)*BB16</f>
        <v>41.97</v>
      </c>
      <c r="BD16" s="47">
        <f t="shared" si="29"/>
        <v>181.87</v>
      </c>
      <c r="BE16" s="149">
        <f>VLOOKUP($B16,'06.02 с мобил'!$B$6:$AK$50,36,0)</f>
        <v>0</v>
      </c>
      <c r="BF16" s="147">
        <f t="shared" si="19"/>
        <v>181.87</v>
      </c>
    </row>
    <row r="17" spans="1:58" s="3" customFormat="1" ht="18.75" customHeight="1" hidden="1" outlineLevel="1">
      <c r="A17" s="159">
        <v>9</v>
      </c>
      <c r="B17" s="36" t="s">
        <v>73</v>
      </c>
      <c r="C17" s="45">
        <f t="shared" si="20"/>
        <v>0</v>
      </c>
      <c r="D17" s="45">
        <f t="shared" si="11"/>
        <v>0</v>
      </c>
      <c r="E17" s="45"/>
      <c r="F17" s="45">
        <f t="shared" si="21"/>
        <v>4855</v>
      </c>
      <c r="G17" s="45">
        <f t="shared" si="22"/>
        <v>1456.4999999999998</v>
      </c>
      <c r="H17" s="47">
        <f t="shared" si="23"/>
        <v>6311.5</v>
      </c>
      <c r="I17" s="148">
        <f t="shared" si="12"/>
        <v>0</v>
      </c>
      <c r="J17" s="147">
        <f t="shared" si="13"/>
        <v>6311.5</v>
      </c>
      <c r="K17" s="139">
        <f>VLOOKUP($B17,'06.02 с мобил'!$B$6:$AK$50,9,0)</f>
        <v>0</v>
      </c>
      <c r="L17" s="45">
        <f>VLOOKUP($B17,'06.02 с мобил'!$B$6:$AK$50,10,0)</f>
        <v>0</v>
      </c>
      <c r="M17" s="45">
        <f t="shared" si="0"/>
        <v>0</v>
      </c>
      <c r="N17" s="53">
        <f>VLOOKUP($B17,'06.02 с мобил'!$B$6:$AK$50,12,0)-VLOOKUP($B17,'ФОТ по мобил.'!$B$6:$Q$49,5,0)</f>
        <v>943</v>
      </c>
      <c r="O17" s="53">
        <f>VLOOKUP($B17,'06.02 с мобил'!$B$6:$AK$50,13,0)/VLOOKUP($B17,'06.02 с мобил'!$B$6:$AK$50,12,0)*N17</f>
        <v>282.9</v>
      </c>
      <c r="P17" s="47">
        <f t="shared" si="24"/>
        <v>1225.9</v>
      </c>
      <c r="Q17" s="149">
        <f>VLOOKUP($B17,'06.02 с мобил'!$B$6:$AK$50,15,0)</f>
        <v>0</v>
      </c>
      <c r="R17" s="147">
        <f t="shared" si="14"/>
        <v>1225.9</v>
      </c>
      <c r="S17" s="161">
        <f>VLOOKUP($B17,'06.02 с мобил'!$B$6:$AK$50,16,0)</f>
        <v>0</v>
      </c>
      <c r="T17" s="45">
        <f>VLOOKUP($B17,'06.02 с мобил'!$B$6:$AK$50,17,0)</f>
        <v>0</v>
      </c>
      <c r="U17" s="45">
        <f t="shared" si="2"/>
        <v>0</v>
      </c>
      <c r="V17" s="53">
        <f>VLOOKUP($B17,'06.02 с мобил'!$B$6:$AK$50,19,0)-VLOOKUP($B17,'ФОТ по мобил.'!$B$6:$Q$49,8,0)</f>
        <v>778</v>
      </c>
      <c r="W17" s="53">
        <f>VLOOKUP($B17,'06.02 с мобил'!$B$6:$AK$50,20,0)/VLOOKUP($B17,'06.02 с мобил'!$B$6:$AK$50,19,0)*V17</f>
        <v>233.39999999999998</v>
      </c>
      <c r="X17" s="47">
        <f t="shared" si="25"/>
        <v>1011.4</v>
      </c>
      <c r="Y17" s="149">
        <f>VLOOKUP($B17,'06.02 с мобил'!$B$6:$AK$50,22,0)</f>
        <v>0</v>
      </c>
      <c r="Z17" s="147">
        <f t="shared" si="15"/>
        <v>1011.4</v>
      </c>
      <c r="AA17" s="139">
        <f>VLOOKUP($B17,'06.02 с мобил'!$B$6:$AK$50,23,0)</f>
        <v>0</v>
      </c>
      <c r="AB17" s="45">
        <f>VLOOKUP($B17,'06.02 с мобил'!$B$6:$AK$50,24,0)</f>
        <v>0</v>
      </c>
      <c r="AC17" s="45">
        <f t="shared" si="4"/>
        <v>0</v>
      </c>
      <c r="AD17" s="53">
        <f>VLOOKUP($B17,'06.02 с мобил'!$B$6:$AK$50,26,0)-VLOOKUP($B17,'ФОТ по мобил.'!$B$6:$Q$49,11,0)</f>
        <v>788</v>
      </c>
      <c r="AE17" s="53">
        <f>VLOOKUP($B17,'06.02 с мобил'!$B$6:$AK$50,27,0)/VLOOKUP($B17,'06.02 с мобил'!$B$6:$AK$50,26,0)*AD17</f>
        <v>236.39999999999998</v>
      </c>
      <c r="AF17" s="47">
        <f t="shared" si="26"/>
        <v>1024.4</v>
      </c>
      <c r="AG17" s="149">
        <f>VLOOKUP($B17,'06.02 с мобил'!$B$6:$AK$50,29,0)</f>
        <v>0</v>
      </c>
      <c r="AH17" s="147">
        <f t="shared" si="16"/>
        <v>1024.4</v>
      </c>
      <c r="AI17" s="161">
        <f>VLOOKUP($B17,'06.02 с мобил'!$B$6:$AK$50,30,0)</f>
        <v>0</v>
      </c>
      <c r="AJ17" s="45">
        <f>VLOOKUP($B17,'06.02 с мобил'!$B$6:$AK$50,31,0)</f>
        <v>0</v>
      </c>
      <c r="AK17" s="45">
        <f t="shared" si="6"/>
        <v>0</v>
      </c>
      <c r="AL17" s="53">
        <f>VLOOKUP($B17,'06.02 с мобил'!$B$6:$AK$50,33,0)-VLOOKUP($B17,'ФОТ по мобил.'!$B$6:$Q$49,14,0)</f>
        <v>782</v>
      </c>
      <c r="AM17" s="53">
        <f>VLOOKUP($B17,'06.02 с мобил'!$B$6:$AK$50,34,0)/VLOOKUP($B17,'06.02 с мобил'!$B$6:$AK$50,33,0)*AL17</f>
        <v>234.6</v>
      </c>
      <c r="AN17" s="47">
        <f t="shared" si="27"/>
        <v>1016.6</v>
      </c>
      <c r="AO17" s="149">
        <f>VLOOKUP($B17,'06.02 с мобил'!$B$6:$AK$50,36,0)</f>
        <v>0</v>
      </c>
      <c r="AP17" s="147">
        <f t="shared" si="17"/>
        <v>1016.6</v>
      </c>
      <c r="AQ17" s="161">
        <f>VLOOKUP($B17,'06.02 с мобил'!$B$6:$AK$50,30,0)</f>
        <v>0</v>
      </c>
      <c r="AR17" s="45">
        <f>VLOOKUP($B17,'06.02 с мобил'!$B$6:$AK$50,31,0)</f>
        <v>0</v>
      </c>
      <c r="AS17" s="45">
        <f t="shared" si="8"/>
        <v>0</v>
      </c>
      <c r="AT17" s="53">
        <f>VLOOKUP($B17,'06.02 с мобил'!$B$6:$AK$50,33,0)-VLOOKUP($B17,'ФОТ по мобил.'!$B$6:$Q$49,14,0)</f>
        <v>782</v>
      </c>
      <c r="AU17" s="53">
        <f>VLOOKUP($B17,'06.02 с мобил'!$B$6:$AK$50,34,0)/VLOOKUP($B17,'06.02 с мобил'!$B$6:$AK$50,33,0)*AT17</f>
        <v>234.6</v>
      </c>
      <c r="AV17" s="47">
        <f t="shared" si="28"/>
        <v>1016.6</v>
      </c>
      <c r="AW17" s="149">
        <f>VLOOKUP($B17,'06.02 с мобил'!$B$6:$AK$50,36,0)</f>
        <v>0</v>
      </c>
      <c r="AX17" s="147">
        <f t="shared" si="18"/>
        <v>1016.6</v>
      </c>
      <c r="AY17" s="161">
        <f>VLOOKUP($B17,'06.02 с мобил'!$B$6:$AK$50,30,0)</f>
        <v>0</v>
      </c>
      <c r="AZ17" s="45">
        <f>VLOOKUP($B17,'06.02 с мобил'!$B$6:$AK$50,31,0)</f>
        <v>0</v>
      </c>
      <c r="BA17" s="45">
        <f t="shared" si="10"/>
        <v>0</v>
      </c>
      <c r="BB17" s="53">
        <f>VLOOKUP($B17,'06.02 с мобил'!$B$6:$AK$50,33,0)-VLOOKUP($B17,'ФОТ по мобил.'!$B$6:$Q$49,14,0)</f>
        <v>782</v>
      </c>
      <c r="BC17" s="53">
        <f>VLOOKUP($B17,'06.02 с мобил'!$B$6:$AK$50,34,0)/VLOOKUP($B17,'06.02 с мобил'!$B$6:$AK$50,33,0)*BB17</f>
        <v>234.6</v>
      </c>
      <c r="BD17" s="47">
        <f t="shared" si="29"/>
        <v>1016.6</v>
      </c>
      <c r="BE17" s="149">
        <f>VLOOKUP($B17,'06.02 с мобил'!$B$6:$AK$50,36,0)</f>
        <v>0</v>
      </c>
      <c r="BF17" s="147">
        <f t="shared" si="19"/>
        <v>1016.6</v>
      </c>
    </row>
    <row r="18" spans="1:58" s="13" customFormat="1" ht="41.25" customHeight="1" collapsed="1">
      <c r="A18" s="153" t="s">
        <v>76</v>
      </c>
      <c r="B18" s="177" t="s">
        <v>63</v>
      </c>
      <c r="C18" s="49">
        <f>SUM(C19:C29)</f>
        <v>147</v>
      </c>
      <c r="D18" s="49">
        <f>SUM(D19:D29)</f>
        <v>63.86</v>
      </c>
      <c r="E18" s="49">
        <f>D18/C18*100</f>
        <v>43.4421768707483</v>
      </c>
      <c r="F18" s="49">
        <f>SUM(F19:F29)</f>
        <v>700351.5032727272</v>
      </c>
      <c r="G18" s="49">
        <f>SUM(G19:G29)</f>
        <v>210105.4509818182</v>
      </c>
      <c r="H18" s="49">
        <f>SUM(F18:G18)</f>
        <v>910456.9542545455</v>
      </c>
      <c r="I18" s="127">
        <f>SUM(I19:I29)</f>
        <v>11394</v>
      </c>
      <c r="J18" s="145">
        <f>SUM(J19:J29)</f>
        <v>899062.9542545455</v>
      </c>
      <c r="K18" s="118">
        <f>SUM(K19:K29)</f>
        <v>13.799999999999999</v>
      </c>
      <c r="L18" s="49">
        <f>SUM(L19:L29)</f>
        <v>14.110000000000001</v>
      </c>
      <c r="M18" s="49">
        <f aca="true" t="shared" si="30" ref="M18:M29">_xlfn.IFERROR(L18/K18*100,0)</f>
        <v>102.24637681159423</v>
      </c>
      <c r="N18" s="49">
        <f>SUM(N19:N29)</f>
        <v>133464.416</v>
      </c>
      <c r="O18" s="49">
        <f>SUM(O19:O29)</f>
        <v>40039.3248</v>
      </c>
      <c r="P18" s="49">
        <f>SUM(N18:O18)</f>
        <v>173503.7408</v>
      </c>
      <c r="Q18" s="127">
        <f>SUM(Q19:Q29)</f>
        <v>0</v>
      </c>
      <c r="R18" s="145">
        <f>SUM(R19:R29)</f>
        <v>173503.74079999997</v>
      </c>
      <c r="S18" s="164">
        <f>SUM(S19:S29)</f>
        <v>26</v>
      </c>
      <c r="T18" s="49">
        <f>SUM(T19:T29)</f>
        <v>18</v>
      </c>
      <c r="U18" s="49">
        <f t="shared" si="2"/>
        <v>69.23076923076923</v>
      </c>
      <c r="V18" s="49">
        <f>SUM(V19:V29)</f>
        <v>117839.00000000001</v>
      </c>
      <c r="W18" s="49">
        <f>SUM(W19:W29)</f>
        <v>35351.700000000004</v>
      </c>
      <c r="X18" s="49">
        <f>SUM(V18:W18)</f>
        <v>153190.7</v>
      </c>
      <c r="Y18" s="127">
        <f>SUM(Y19:Y29)</f>
        <v>0</v>
      </c>
      <c r="Z18" s="145">
        <f>SUM(Z19:Z29)</f>
        <v>153190.7</v>
      </c>
      <c r="AA18" s="118">
        <f>SUM(AA19:AA29)</f>
        <v>32.2</v>
      </c>
      <c r="AB18" s="49">
        <f>SUM(AB19:AB29)</f>
        <v>18.7</v>
      </c>
      <c r="AC18" s="49">
        <f t="shared" si="4"/>
        <v>58.074534161490675</v>
      </c>
      <c r="AD18" s="49">
        <f>SUM(AD19:AD29)</f>
        <v>119677.34000000001</v>
      </c>
      <c r="AE18" s="49">
        <f>SUM(AE19:AE29)</f>
        <v>35903.202</v>
      </c>
      <c r="AF18" s="49">
        <f>SUM(AD18:AE18)</f>
        <v>155580.54200000002</v>
      </c>
      <c r="AG18" s="127">
        <f>SUM(AG19:AG29)</f>
        <v>0</v>
      </c>
      <c r="AH18" s="145">
        <f>SUM(AH19:AH29)</f>
        <v>155580.54200000002</v>
      </c>
      <c r="AI18" s="164">
        <f>SUM(AI19:AI29)</f>
        <v>25</v>
      </c>
      <c r="AJ18" s="49">
        <f>SUM(AJ19:AJ29)</f>
        <v>13.049999999999999</v>
      </c>
      <c r="AK18" s="49">
        <f t="shared" si="6"/>
        <v>52.19999999999999</v>
      </c>
      <c r="AL18" s="49">
        <f>SUM(AL19:AL29)</f>
        <v>109790.24909090911</v>
      </c>
      <c r="AM18" s="49">
        <f>SUM(AM19:AM29)</f>
        <v>32937.07472727273</v>
      </c>
      <c r="AN18" s="49">
        <f>SUM(AL18:AM18)</f>
        <v>142727.32381818185</v>
      </c>
      <c r="AO18" s="127">
        <f>SUM(AO19:AO29)</f>
        <v>3798</v>
      </c>
      <c r="AP18" s="145">
        <f>SUM(AP19:AP29)</f>
        <v>138929.32381818182</v>
      </c>
      <c r="AQ18" s="164">
        <f>SUM(AQ19:AQ29)</f>
        <v>25</v>
      </c>
      <c r="AR18" s="49">
        <f>SUM(AR19:AR29)</f>
        <v>13.049999999999999</v>
      </c>
      <c r="AS18" s="49">
        <f t="shared" si="8"/>
        <v>52.19999999999999</v>
      </c>
      <c r="AT18" s="49">
        <f>SUM(AT19:AT29)</f>
        <v>109790.24909090911</v>
      </c>
      <c r="AU18" s="49">
        <f>SUM(AU19:AU29)</f>
        <v>32937.07472727273</v>
      </c>
      <c r="AV18" s="49">
        <f>SUM(AT18:AU18)</f>
        <v>142727.32381818185</v>
      </c>
      <c r="AW18" s="127">
        <f>SUM(AW19:AW29)</f>
        <v>3798</v>
      </c>
      <c r="AX18" s="145">
        <f>SUM(AX19:AX29)</f>
        <v>138929.32381818182</v>
      </c>
      <c r="AY18" s="164">
        <f>SUM(AY19:AY29)</f>
        <v>25</v>
      </c>
      <c r="AZ18" s="49">
        <f>SUM(AZ19:AZ29)</f>
        <v>13.049999999999999</v>
      </c>
      <c r="BA18" s="49">
        <f t="shared" si="10"/>
        <v>52.19999999999999</v>
      </c>
      <c r="BB18" s="49">
        <f>SUM(BB19:BB29)</f>
        <v>109790.24909090911</v>
      </c>
      <c r="BC18" s="49">
        <f>SUM(BC19:BC29)</f>
        <v>32937.07472727273</v>
      </c>
      <c r="BD18" s="49">
        <f>SUM(BB18:BC18)</f>
        <v>142727.32381818185</v>
      </c>
      <c r="BE18" s="127">
        <f>SUM(BE19:BE29)</f>
        <v>3798</v>
      </c>
      <c r="BF18" s="145">
        <f>SUM(BF19:BF29)</f>
        <v>138929.32381818182</v>
      </c>
    </row>
    <row r="19" spans="1:58" s="3" customFormat="1" ht="18.75" customHeight="1" hidden="1" outlineLevel="1">
      <c r="A19" s="159">
        <v>1</v>
      </c>
      <c r="B19" s="61" t="s">
        <v>80</v>
      </c>
      <c r="C19" s="45">
        <f aca="true" t="shared" si="31" ref="C19:C29">K19+S19+AA19+AI19+AQ19+AY19</f>
        <v>20.4</v>
      </c>
      <c r="D19" s="45">
        <f aca="true" t="shared" si="32" ref="D19:D29">L19+T19+AB19+AJ19</f>
        <v>21.509999999999998</v>
      </c>
      <c r="E19" s="52">
        <f>D19/C19*100</f>
        <v>105.44117647058823</v>
      </c>
      <c r="F19" s="45">
        <f aca="true" t="shared" si="33" ref="F19:F29">N19+V19+AD19+AL19+AT19+BB19</f>
        <v>66097.6</v>
      </c>
      <c r="G19" s="45">
        <f aca="true" t="shared" si="34" ref="G19:G29">O19+W19+AE19+AM19+AU19+BC19</f>
        <v>19829.28</v>
      </c>
      <c r="H19" s="45">
        <f>SUM(F19:G19)</f>
        <v>85926.88</v>
      </c>
      <c r="I19" s="148">
        <f>Q19+Y19+AG19+AO19+AW19+BE19</f>
        <v>11394</v>
      </c>
      <c r="J19" s="147">
        <f aca="true" t="shared" si="35" ref="J19:J29">(I19-H19)*-1</f>
        <v>74532.88</v>
      </c>
      <c r="K19" s="137">
        <f>VLOOKUP($B19,'06.02 с мобил'!$B$6:$AK$50,9,0)</f>
        <v>5.7</v>
      </c>
      <c r="L19" s="52">
        <f>VLOOKUP($B19,'06.02 с мобил'!$B$6:$AK$50,10,0)</f>
        <v>5.81</v>
      </c>
      <c r="M19" s="52">
        <f t="shared" si="30"/>
        <v>101.92982456140349</v>
      </c>
      <c r="N19" s="45">
        <f>VLOOKUP($B19,'06.02 с мобил'!$B$6:$AK$50,12,0)-VLOOKUP($B19,'ФОТ по мобил.'!$B$6:$Q$49,5,0)</f>
        <v>12390.2</v>
      </c>
      <c r="O19" s="45">
        <f>VLOOKUP($B19,'06.02 с мобил'!$B$6:$AK$50,13,0)/VLOOKUP($B19,'06.02 с мобил'!$B$6:$AK$50,12,0)*N19</f>
        <v>3717.06</v>
      </c>
      <c r="P19" s="45">
        <f aca="true" t="shared" si="36" ref="P19:P29">SUM(N19:O19)</f>
        <v>16107.26</v>
      </c>
      <c r="Q19" s="149">
        <f>VLOOKUP($B19,'06.02 с мобил'!$B$6:$AK$50,15,0)</f>
        <v>0</v>
      </c>
      <c r="R19" s="147">
        <f aca="true" t="shared" si="37" ref="R19:R29">(Q19-P19)*-1</f>
        <v>16107.26</v>
      </c>
      <c r="S19" s="59">
        <f>VLOOKUP($B19,'06.02 с мобил'!$B$6:$AK$50,16,0)</f>
        <v>8</v>
      </c>
      <c r="T19" s="52">
        <f>VLOOKUP($B19,'06.02 с мобил'!$B$6:$AK$50,17,0)</f>
        <v>7</v>
      </c>
      <c r="U19" s="52">
        <f t="shared" si="2"/>
        <v>87.5</v>
      </c>
      <c r="V19" s="45">
        <f>VLOOKUP($B19,'06.02 с мобил'!$B$6:$AK$50,19,0)-VLOOKUP($B19,'ФОТ по мобил.'!$B$6:$Q$49,8,0)</f>
        <v>11229.2</v>
      </c>
      <c r="W19" s="45">
        <f>VLOOKUP($B19,'06.02 с мобил'!$B$6:$AK$50,20,0)/VLOOKUP($B19,'06.02 с мобил'!$B$6:$AK$50,19,0)*V19</f>
        <v>3368.76</v>
      </c>
      <c r="X19" s="45">
        <f aca="true" t="shared" si="38" ref="X19:X29">SUM(V19:W19)</f>
        <v>14597.960000000001</v>
      </c>
      <c r="Y19" s="148">
        <f>VLOOKUP($B19,'06.02 с мобил'!$B$6:$AK$50,22,0)</f>
        <v>0</v>
      </c>
      <c r="Z19" s="147">
        <f aca="true" t="shared" si="39" ref="Z19:Z29">(Y19-X19)*-1</f>
        <v>14597.960000000001</v>
      </c>
      <c r="AA19" s="139">
        <f>VLOOKUP($B19,'06.02 с мобил'!$B$6:$AK$50,23,0)</f>
        <v>6.7</v>
      </c>
      <c r="AB19" s="45">
        <f>VLOOKUP($B19,'06.02 с мобил'!$B$6:$AK$50,24,0)</f>
        <v>7</v>
      </c>
      <c r="AC19" s="45">
        <f t="shared" si="4"/>
        <v>104.4776119402985</v>
      </c>
      <c r="AD19" s="45">
        <f>VLOOKUP($B19,'06.02 с мобил'!$B$6:$AK$50,26,0)-VLOOKUP($B19,'ФОТ по мобил.'!$B$6:$Q$49,11,0)</f>
        <v>11383.2</v>
      </c>
      <c r="AE19" s="45">
        <f>VLOOKUP($B19,'06.02 с мобил'!$B$6:$AK$50,27,0)/VLOOKUP($B19,'06.02 с мобил'!$B$6:$AK$50,26,0)*AD19</f>
        <v>3414.96</v>
      </c>
      <c r="AF19" s="45">
        <f aca="true" t="shared" si="40" ref="AF19:AF29">SUM(AD19:AE19)</f>
        <v>14798.16</v>
      </c>
      <c r="AG19" s="148">
        <f>VLOOKUP($B19,'06.02 с мобил'!$B$6:$AK$50,29,0)</f>
        <v>0</v>
      </c>
      <c r="AH19" s="147">
        <f aca="true" t="shared" si="41" ref="AH19:AH29">(AG19-AF19)*-1</f>
        <v>14798.16</v>
      </c>
      <c r="AI19" s="161">
        <f>VLOOKUP($B19,'06.02 с мобил'!$B$6:$AK$50,30,0)</f>
        <v>0</v>
      </c>
      <c r="AJ19" s="45">
        <f>VLOOKUP($B19,'06.02 с мобил'!$B$6:$AK$50,31,0)</f>
        <v>1.7</v>
      </c>
      <c r="AK19" s="45">
        <f t="shared" si="6"/>
        <v>0</v>
      </c>
      <c r="AL19" s="45">
        <f>VLOOKUP($B19,'06.02 с мобил'!$B$6:$AK$50,33,0)-VLOOKUP($B19,'ФОТ по мобил.'!$B$6:$Q$49,14,0)</f>
        <v>10365</v>
      </c>
      <c r="AM19" s="45">
        <f>VLOOKUP($B19,'06.02 с мобил'!$B$6:$AK$50,34,0)/VLOOKUP($B19,'06.02 с мобил'!$B$6:$AK$50,33,0)*AL19</f>
        <v>3109.5</v>
      </c>
      <c r="AN19" s="45">
        <f aca="true" t="shared" si="42" ref="AN19:AN29">SUM(AL19:AM19)</f>
        <v>13474.5</v>
      </c>
      <c r="AO19" s="149">
        <f>VLOOKUP($B19,'06.02 с мобил'!$B$6:$AK$50,36,0)</f>
        <v>3798</v>
      </c>
      <c r="AP19" s="147">
        <f aca="true" t="shared" si="43" ref="AP19:AP29">(AO19-AN19)*-1</f>
        <v>9676.5</v>
      </c>
      <c r="AQ19" s="161">
        <f>VLOOKUP($B19,'06.02 с мобил'!$B$6:$AK$50,30,0)</f>
        <v>0</v>
      </c>
      <c r="AR19" s="45">
        <f>VLOOKUP($B19,'06.02 с мобил'!$B$6:$AK$50,31,0)</f>
        <v>1.7</v>
      </c>
      <c r="AS19" s="45">
        <f t="shared" si="8"/>
        <v>0</v>
      </c>
      <c r="AT19" s="45">
        <f>VLOOKUP($B19,'06.02 с мобил'!$B$6:$AK$50,33,0)-VLOOKUP($B19,'ФОТ по мобил.'!$B$6:$Q$49,14,0)</f>
        <v>10365</v>
      </c>
      <c r="AU19" s="45">
        <f>VLOOKUP($B19,'06.02 с мобил'!$B$6:$AK$50,34,0)/VLOOKUP($B19,'06.02 с мобил'!$B$6:$AK$50,33,0)*AT19</f>
        <v>3109.5</v>
      </c>
      <c r="AV19" s="45">
        <f aca="true" t="shared" si="44" ref="AV19:AV29">SUM(AT19:AU19)</f>
        <v>13474.5</v>
      </c>
      <c r="AW19" s="149">
        <f>VLOOKUP($B19,'06.02 с мобил'!$B$6:$AK$50,36,0)</f>
        <v>3798</v>
      </c>
      <c r="AX19" s="147">
        <f aca="true" t="shared" si="45" ref="AX19:AX29">(AW19-AV19)*-1</f>
        <v>9676.5</v>
      </c>
      <c r="AY19" s="161">
        <f>VLOOKUP($B19,'06.02 с мобил'!$B$6:$AK$50,30,0)</f>
        <v>0</v>
      </c>
      <c r="AZ19" s="45">
        <f>VLOOKUP($B19,'06.02 с мобил'!$B$6:$AK$50,31,0)</f>
        <v>1.7</v>
      </c>
      <c r="BA19" s="45">
        <f t="shared" si="10"/>
        <v>0</v>
      </c>
      <c r="BB19" s="45">
        <f>VLOOKUP($B19,'06.02 с мобил'!$B$6:$AK$50,33,0)-VLOOKUP($B19,'ФОТ по мобил.'!$B$6:$Q$49,14,0)</f>
        <v>10365</v>
      </c>
      <c r="BC19" s="45">
        <f>VLOOKUP($B19,'06.02 с мобил'!$B$6:$AK$50,34,0)/VLOOKUP($B19,'06.02 с мобил'!$B$6:$AK$50,33,0)*BB19</f>
        <v>3109.5</v>
      </c>
      <c r="BD19" s="45">
        <f aca="true" t="shared" si="46" ref="BD19:BD29">SUM(BB19:BC19)</f>
        <v>13474.5</v>
      </c>
      <c r="BE19" s="149">
        <f>VLOOKUP($B19,'06.02 с мобил'!$B$6:$AK$50,36,0)</f>
        <v>3798</v>
      </c>
      <c r="BF19" s="147">
        <f aca="true" t="shared" si="47" ref="BF19:BF29">(BE19-BD19)*-1</f>
        <v>9676.5</v>
      </c>
    </row>
    <row r="20" spans="1:58" s="3" customFormat="1" ht="18.75" customHeight="1" hidden="1" outlineLevel="1">
      <c r="A20" s="159">
        <v>2</v>
      </c>
      <c r="B20" s="61" t="s">
        <v>81</v>
      </c>
      <c r="C20" s="45">
        <f t="shared" si="31"/>
        <v>84.5</v>
      </c>
      <c r="D20" s="45">
        <f t="shared" si="32"/>
        <v>28.200000000000003</v>
      </c>
      <c r="E20" s="52">
        <f>D20/C20*100</f>
        <v>33.372781065088766</v>
      </c>
      <c r="F20" s="45">
        <f t="shared" si="33"/>
        <v>128874.69999999998</v>
      </c>
      <c r="G20" s="45">
        <f t="shared" si="34"/>
        <v>38662.409999999996</v>
      </c>
      <c r="H20" s="45">
        <f aca="true" t="shared" si="48" ref="H20:H46">SUM(F20:G20)</f>
        <v>167537.11</v>
      </c>
      <c r="I20" s="148">
        <f aca="true" t="shared" si="49" ref="I20:I46">Q20+Y20+AG20+AO20</f>
        <v>0</v>
      </c>
      <c r="J20" s="147">
        <f t="shared" si="35"/>
        <v>167537.11</v>
      </c>
      <c r="K20" s="137">
        <f>VLOOKUP($B20,'06.02 с мобил'!$B$6:$AK$50,9,0)</f>
        <v>6</v>
      </c>
      <c r="L20" s="52">
        <f>VLOOKUP($B20,'06.02 с мобил'!$B$6:$AK$50,10,0)</f>
        <v>6.15</v>
      </c>
      <c r="M20" s="52">
        <f t="shared" si="30"/>
        <v>102.50000000000001</v>
      </c>
      <c r="N20" s="45">
        <f>VLOOKUP($B20,'06.02 с мобил'!$B$6:$AK$50,12,0)-VLOOKUP($B20,'ФОТ по мобил.'!$B$6:$Q$49,5,0)</f>
        <v>25581.2</v>
      </c>
      <c r="O20" s="45">
        <f>VLOOKUP($B20,'06.02 с мобил'!$B$6:$AK$50,13,0)/VLOOKUP($B20,'06.02 с мобил'!$B$6:$AK$50,12,0)*N20</f>
        <v>7674.36</v>
      </c>
      <c r="P20" s="45">
        <f t="shared" si="36"/>
        <v>33255.56</v>
      </c>
      <c r="Q20" s="149">
        <f>VLOOKUP($B20,'06.02 с мобил'!$B$6:$AK$50,15,0)</f>
        <v>0</v>
      </c>
      <c r="R20" s="147">
        <f t="shared" si="37"/>
        <v>33255.56</v>
      </c>
      <c r="S20" s="59">
        <f>VLOOKUP($B20,'06.02 с мобил'!$B$6:$AK$50,16,0)</f>
        <v>10</v>
      </c>
      <c r="T20" s="52">
        <f>VLOOKUP($B20,'06.02 с мобил'!$B$6:$AK$50,17,0)</f>
        <v>7</v>
      </c>
      <c r="U20" s="52">
        <f t="shared" si="2"/>
        <v>70</v>
      </c>
      <c r="V20" s="45">
        <f>VLOOKUP($B20,'06.02 с мобил'!$B$6:$AK$50,19,0)-VLOOKUP($B20,'ФОТ по мобил.'!$B$6:$Q$49,8,0)</f>
        <v>20234.8</v>
      </c>
      <c r="W20" s="45">
        <f>VLOOKUP($B20,'06.02 с мобил'!$B$6:$AK$50,20,0)/VLOOKUP($B20,'06.02 с мобил'!$B$6:$AK$50,19,0)*V20</f>
        <v>6070.44</v>
      </c>
      <c r="X20" s="45">
        <f t="shared" si="38"/>
        <v>26305.239999999998</v>
      </c>
      <c r="Y20" s="148">
        <f>VLOOKUP($B20,'06.02 с мобил'!$B$6:$AK$50,22,0)</f>
        <v>0</v>
      </c>
      <c r="Z20" s="147">
        <f t="shared" si="39"/>
        <v>26305.239999999998</v>
      </c>
      <c r="AA20" s="139">
        <f>VLOOKUP($B20,'06.02 с мобил'!$B$6:$AK$50,23,0)</f>
        <v>17.5</v>
      </c>
      <c r="AB20" s="45">
        <f>VLOOKUP($B20,'06.02 с мобил'!$B$6:$AK$50,24,0)</f>
        <v>7.7</v>
      </c>
      <c r="AC20" s="45">
        <f t="shared" si="4"/>
        <v>44</v>
      </c>
      <c r="AD20" s="45">
        <f>VLOOKUP($B20,'06.02 с мобил'!$B$6:$AK$50,26,0)-VLOOKUP($B20,'ФОТ по мобил.'!$B$6:$Q$49,11,0)</f>
        <v>22195</v>
      </c>
      <c r="AE20" s="45">
        <f>VLOOKUP($B20,'06.02 с мобил'!$B$6:$AK$50,27,0)/VLOOKUP($B20,'06.02 с мобил'!$B$6:$AK$50,26,0)*AD20</f>
        <v>6658.5</v>
      </c>
      <c r="AF20" s="45">
        <f t="shared" si="40"/>
        <v>28853.5</v>
      </c>
      <c r="AG20" s="148">
        <f>VLOOKUP($B20,'06.02 с мобил'!$B$6:$AK$50,29,0)</f>
        <v>0</v>
      </c>
      <c r="AH20" s="147">
        <f t="shared" si="41"/>
        <v>28853.5</v>
      </c>
      <c r="AI20" s="161">
        <f>VLOOKUP($B20,'06.02 с мобил'!$B$6:$AK$50,30,0)</f>
        <v>17</v>
      </c>
      <c r="AJ20" s="45">
        <f>VLOOKUP($B20,'06.02 с мобил'!$B$6:$AK$50,31,0)</f>
        <v>7.35</v>
      </c>
      <c r="AK20" s="45">
        <f t="shared" si="6"/>
        <v>43.23529411764706</v>
      </c>
      <c r="AL20" s="45">
        <f>VLOOKUP($B20,'06.02 с мобил'!$B$6:$AK$50,33,0)-VLOOKUP($B20,'ФОТ по мобил.'!$B$6:$Q$49,14,0)</f>
        <v>20287.9</v>
      </c>
      <c r="AM20" s="45">
        <f>VLOOKUP($B20,'06.02 с мобил'!$B$6:$AK$50,34,0)/VLOOKUP($B20,'06.02 с мобил'!$B$6:$AK$50,33,0)*AL20</f>
        <v>6086.37</v>
      </c>
      <c r="AN20" s="45">
        <f t="shared" si="42"/>
        <v>26374.27</v>
      </c>
      <c r="AO20" s="149">
        <f>VLOOKUP($B20,'06.02 с мобил'!$B$6:$AK$50,36,0)</f>
        <v>0</v>
      </c>
      <c r="AP20" s="147">
        <f t="shared" si="43"/>
        <v>26374.27</v>
      </c>
      <c r="AQ20" s="161">
        <f>VLOOKUP($B20,'06.02 с мобил'!$B$6:$AK$50,30,0)</f>
        <v>17</v>
      </c>
      <c r="AR20" s="45">
        <f>VLOOKUP($B20,'06.02 с мобил'!$B$6:$AK$50,31,0)</f>
        <v>7.35</v>
      </c>
      <c r="AS20" s="45">
        <f t="shared" si="8"/>
        <v>43.23529411764706</v>
      </c>
      <c r="AT20" s="45">
        <f>VLOOKUP($B20,'06.02 с мобил'!$B$6:$AK$50,33,0)-VLOOKUP($B20,'ФОТ по мобил.'!$B$6:$Q$49,14,0)</f>
        <v>20287.9</v>
      </c>
      <c r="AU20" s="45">
        <f>VLOOKUP($B20,'06.02 с мобил'!$B$6:$AK$50,34,0)/VLOOKUP($B20,'06.02 с мобил'!$B$6:$AK$50,33,0)*AT20</f>
        <v>6086.37</v>
      </c>
      <c r="AV20" s="45">
        <f t="shared" si="44"/>
        <v>26374.27</v>
      </c>
      <c r="AW20" s="149">
        <f>VLOOKUP($B20,'06.02 с мобил'!$B$6:$AK$50,36,0)</f>
        <v>0</v>
      </c>
      <c r="AX20" s="147">
        <f t="shared" si="45"/>
        <v>26374.27</v>
      </c>
      <c r="AY20" s="161">
        <f>VLOOKUP($B20,'06.02 с мобил'!$B$6:$AK$50,30,0)</f>
        <v>17</v>
      </c>
      <c r="AZ20" s="45">
        <f>VLOOKUP($B20,'06.02 с мобил'!$B$6:$AK$50,31,0)</f>
        <v>7.35</v>
      </c>
      <c r="BA20" s="45">
        <f t="shared" si="10"/>
        <v>43.23529411764706</v>
      </c>
      <c r="BB20" s="45">
        <f>VLOOKUP($B20,'06.02 с мобил'!$B$6:$AK$50,33,0)-VLOOKUP($B20,'ФОТ по мобил.'!$B$6:$Q$49,14,0)</f>
        <v>20287.9</v>
      </c>
      <c r="BC20" s="45">
        <f>VLOOKUP($B20,'06.02 с мобил'!$B$6:$AK$50,34,0)/VLOOKUP($B20,'06.02 с мобил'!$B$6:$AK$50,33,0)*BB20</f>
        <v>6086.37</v>
      </c>
      <c r="BD20" s="45">
        <f t="shared" si="46"/>
        <v>26374.27</v>
      </c>
      <c r="BE20" s="149">
        <f>VLOOKUP($B20,'06.02 с мобил'!$B$6:$AK$50,36,0)</f>
        <v>0</v>
      </c>
      <c r="BF20" s="147">
        <f t="shared" si="47"/>
        <v>26374.27</v>
      </c>
    </row>
    <row r="21" spans="1:58" s="3" customFormat="1" ht="18.75" customHeight="1" hidden="1" outlineLevel="1">
      <c r="A21" s="159">
        <v>3</v>
      </c>
      <c r="B21" s="61" t="s">
        <v>82</v>
      </c>
      <c r="C21" s="45">
        <f t="shared" si="31"/>
        <v>0</v>
      </c>
      <c r="D21" s="45">
        <f t="shared" si="32"/>
        <v>0</v>
      </c>
      <c r="E21" s="52"/>
      <c r="F21" s="45">
        <f t="shared" si="33"/>
        <v>66483.66</v>
      </c>
      <c r="G21" s="45">
        <f t="shared" si="34"/>
        <v>19945.097999999998</v>
      </c>
      <c r="H21" s="45">
        <f t="shared" si="48"/>
        <v>86428.758</v>
      </c>
      <c r="I21" s="148">
        <f t="shared" si="49"/>
        <v>0</v>
      </c>
      <c r="J21" s="147">
        <f t="shared" si="35"/>
        <v>86428.758</v>
      </c>
      <c r="K21" s="137">
        <f>VLOOKUP($B21,'06.02 с мобил'!$B$6:$AK$50,9,0)</f>
        <v>0</v>
      </c>
      <c r="L21" s="52">
        <f>VLOOKUP($B21,'06.02 с мобил'!$B$6:$AK$50,10,0)</f>
        <v>0</v>
      </c>
      <c r="M21" s="52">
        <f t="shared" si="30"/>
        <v>0</v>
      </c>
      <c r="N21" s="45">
        <f>VLOOKUP($B21,'06.02 с мобил'!$B$6:$AK$50,12,0)-VLOOKUP($B21,'ФОТ по мобил.'!$B$6:$Q$49,5,0)</f>
        <v>13905.9</v>
      </c>
      <c r="O21" s="45">
        <f>VLOOKUP($B21,'06.02 с мобил'!$B$6:$AK$50,13,0)/VLOOKUP($B21,'06.02 с мобил'!$B$6:$AK$50,12,0)*N21</f>
        <v>4171.7699999999995</v>
      </c>
      <c r="P21" s="45">
        <f t="shared" si="36"/>
        <v>18077.67</v>
      </c>
      <c r="Q21" s="149">
        <f>VLOOKUP($B21,'06.02 с мобил'!$B$6:$AK$50,15,0)</f>
        <v>0</v>
      </c>
      <c r="R21" s="147">
        <f t="shared" si="37"/>
        <v>18077.67</v>
      </c>
      <c r="S21" s="59">
        <f>VLOOKUP($B21,'06.02 с мобил'!$B$6:$AK$50,16,0)</f>
        <v>0</v>
      </c>
      <c r="T21" s="52">
        <f>VLOOKUP($B21,'06.02 с мобил'!$B$6:$AK$50,17,0)</f>
        <v>0</v>
      </c>
      <c r="U21" s="52">
        <f t="shared" si="2"/>
        <v>0</v>
      </c>
      <c r="V21" s="45">
        <f>VLOOKUP($B21,'06.02 с мобил'!$B$6:$AK$50,19,0)-VLOOKUP($B21,'ФОТ по мобил.'!$B$6:$Q$49,8,0)</f>
        <v>12234.9</v>
      </c>
      <c r="W21" s="45">
        <f>VLOOKUP($B21,'06.02 с мобил'!$B$6:$AK$50,20,0)/VLOOKUP($B21,'06.02 с мобил'!$B$6:$AK$50,19,0)*V21</f>
        <v>3670.47</v>
      </c>
      <c r="X21" s="45">
        <f t="shared" si="38"/>
        <v>15905.369999999999</v>
      </c>
      <c r="Y21" s="148">
        <f>VLOOKUP($B21,'06.02 с мобил'!$B$6:$AK$50,22,0)</f>
        <v>0</v>
      </c>
      <c r="Z21" s="147">
        <f t="shared" si="39"/>
        <v>15905.369999999999</v>
      </c>
      <c r="AA21" s="139">
        <f>VLOOKUP($B21,'06.02 с мобил'!$B$6:$AK$50,23,0)</f>
        <v>0</v>
      </c>
      <c r="AB21" s="45">
        <f>VLOOKUP($B21,'06.02 с мобил'!$B$6:$AK$50,24,0)</f>
        <v>0</v>
      </c>
      <c r="AC21" s="45">
        <f t="shared" si="4"/>
        <v>0</v>
      </c>
      <c r="AD21" s="45">
        <f>VLOOKUP($B21,'06.02 с мобил'!$B$6:$AK$50,26,0)-VLOOKUP($B21,'ФОТ по мобил.'!$B$6:$Q$49,11,0)</f>
        <v>11209.74</v>
      </c>
      <c r="AE21" s="45">
        <f>VLOOKUP($B21,'06.02 с мобил'!$B$6:$AK$50,27,0)/VLOOKUP($B21,'06.02 с мобил'!$B$6:$AK$50,26,0)*AD21</f>
        <v>3362.922</v>
      </c>
      <c r="AF21" s="45">
        <f t="shared" si="40"/>
        <v>14572.662</v>
      </c>
      <c r="AG21" s="148">
        <f>VLOOKUP($B21,'06.02 с мобил'!$B$6:$AK$50,29,0)</f>
        <v>0</v>
      </c>
      <c r="AH21" s="147">
        <f t="shared" si="41"/>
        <v>14572.662</v>
      </c>
      <c r="AI21" s="161">
        <f>VLOOKUP($B21,'06.02 с мобил'!$B$6:$AK$50,30,0)</f>
        <v>0</v>
      </c>
      <c r="AJ21" s="45">
        <f>VLOOKUP($B21,'06.02 с мобил'!$B$6:$AK$50,31,0)</f>
        <v>0</v>
      </c>
      <c r="AK21" s="45">
        <f t="shared" si="6"/>
        <v>0</v>
      </c>
      <c r="AL21" s="45">
        <f>VLOOKUP($B21,'06.02 с мобил'!$B$6:$AK$50,33,0)-VLOOKUP($B21,'ФОТ по мобил.'!$B$6:$Q$49,14,0)</f>
        <v>9711.039999999999</v>
      </c>
      <c r="AM21" s="45">
        <f>VLOOKUP($B21,'06.02 с мобил'!$B$6:$AK$50,34,0)/VLOOKUP($B21,'06.02 с мобил'!$B$6:$AK$50,33,0)*AL21</f>
        <v>2913.3119999999994</v>
      </c>
      <c r="AN21" s="45">
        <f t="shared" si="42"/>
        <v>12624.351999999999</v>
      </c>
      <c r="AO21" s="149">
        <f>VLOOKUP($B21,'06.02 с мобил'!$B$6:$AK$50,36,0)</f>
        <v>0</v>
      </c>
      <c r="AP21" s="147">
        <f t="shared" si="43"/>
        <v>12624.351999999999</v>
      </c>
      <c r="AQ21" s="161">
        <f>VLOOKUP($B21,'06.02 с мобил'!$B$6:$AK$50,30,0)</f>
        <v>0</v>
      </c>
      <c r="AR21" s="45">
        <f>VLOOKUP($B21,'06.02 с мобил'!$B$6:$AK$50,31,0)</f>
        <v>0</v>
      </c>
      <c r="AS21" s="45">
        <f t="shared" si="8"/>
        <v>0</v>
      </c>
      <c r="AT21" s="45">
        <f>VLOOKUP($B21,'06.02 с мобил'!$B$6:$AK$50,33,0)-VLOOKUP($B21,'ФОТ по мобил.'!$B$6:$Q$49,14,0)</f>
        <v>9711.039999999999</v>
      </c>
      <c r="AU21" s="45">
        <f>VLOOKUP($B21,'06.02 с мобил'!$B$6:$AK$50,34,0)/VLOOKUP($B21,'06.02 с мобил'!$B$6:$AK$50,33,0)*AT21</f>
        <v>2913.3119999999994</v>
      </c>
      <c r="AV21" s="45">
        <f t="shared" si="44"/>
        <v>12624.351999999999</v>
      </c>
      <c r="AW21" s="149">
        <f>VLOOKUP($B21,'06.02 с мобил'!$B$6:$AK$50,36,0)</f>
        <v>0</v>
      </c>
      <c r="AX21" s="147">
        <f t="shared" si="45"/>
        <v>12624.351999999999</v>
      </c>
      <c r="AY21" s="161">
        <f>VLOOKUP($B21,'06.02 с мобил'!$B$6:$AK$50,30,0)</f>
        <v>0</v>
      </c>
      <c r="AZ21" s="45">
        <f>VLOOKUP($B21,'06.02 с мобил'!$B$6:$AK$50,31,0)</f>
        <v>0</v>
      </c>
      <c r="BA21" s="45">
        <f t="shared" si="10"/>
        <v>0</v>
      </c>
      <c r="BB21" s="45">
        <f>VLOOKUP($B21,'06.02 с мобил'!$B$6:$AK$50,33,0)-VLOOKUP($B21,'ФОТ по мобил.'!$B$6:$Q$49,14,0)</f>
        <v>9711.039999999999</v>
      </c>
      <c r="BC21" s="45">
        <f>VLOOKUP($B21,'06.02 с мобил'!$B$6:$AK$50,34,0)/VLOOKUP($B21,'06.02 с мобил'!$B$6:$AK$50,33,0)*BB21</f>
        <v>2913.3119999999994</v>
      </c>
      <c r="BD21" s="45">
        <f t="shared" si="46"/>
        <v>12624.351999999999</v>
      </c>
      <c r="BE21" s="149">
        <f>VLOOKUP($B21,'06.02 с мобил'!$B$6:$AK$50,36,0)</f>
        <v>0</v>
      </c>
      <c r="BF21" s="147">
        <f t="shared" si="47"/>
        <v>12624.351999999999</v>
      </c>
    </row>
    <row r="22" spans="1:58" s="3" customFormat="1" ht="18.75" customHeight="1" hidden="1" outlineLevel="1">
      <c r="A22" s="159">
        <v>4</v>
      </c>
      <c r="B22" s="61" t="s">
        <v>83</v>
      </c>
      <c r="C22" s="45">
        <f t="shared" si="31"/>
        <v>42.1</v>
      </c>
      <c r="D22" s="45">
        <f t="shared" si="32"/>
        <v>14.15</v>
      </c>
      <c r="E22" s="52">
        <f>D22/C22*100</f>
        <v>33.6104513064133</v>
      </c>
      <c r="F22" s="45">
        <f t="shared" si="33"/>
        <v>119904.90000000002</v>
      </c>
      <c r="G22" s="45">
        <f t="shared" si="34"/>
        <v>35971.47</v>
      </c>
      <c r="H22" s="45">
        <f t="shared" si="48"/>
        <v>155876.37000000002</v>
      </c>
      <c r="I22" s="148">
        <f t="shared" si="49"/>
        <v>0</v>
      </c>
      <c r="J22" s="147">
        <f t="shared" si="35"/>
        <v>155876.37000000002</v>
      </c>
      <c r="K22" s="137">
        <f>VLOOKUP($B22,'06.02 с мобил'!$B$6:$AK$50,9,0)</f>
        <v>2.1</v>
      </c>
      <c r="L22" s="52">
        <f>VLOOKUP($B22,'06.02 с мобил'!$B$6:$AK$50,10,0)</f>
        <v>2.15</v>
      </c>
      <c r="M22" s="52">
        <f t="shared" si="30"/>
        <v>102.38095238095238</v>
      </c>
      <c r="N22" s="45">
        <f>VLOOKUP($B22,'06.02 с мобил'!$B$6:$AK$50,12,0)-VLOOKUP($B22,'ФОТ по мобил.'!$B$6:$Q$49,5,0)</f>
        <v>20505.6</v>
      </c>
      <c r="O22" s="45">
        <f>VLOOKUP($B22,'06.02 с мобил'!$B$6:$AK$50,13,0)/VLOOKUP($B22,'06.02 с мобил'!$B$6:$AK$50,12,0)*N22</f>
        <v>6151.679999999999</v>
      </c>
      <c r="P22" s="45">
        <f t="shared" si="36"/>
        <v>26657.28</v>
      </c>
      <c r="Q22" s="149">
        <f>VLOOKUP($B22,'06.02 с мобил'!$B$6:$AK$50,15,0)</f>
        <v>0</v>
      </c>
      <c r="R22" s="147">
        <f t="shared" si="37"/>
        <v>26657.28</v>
      </c>
      <c r="S22" s="59">
        <f>VLOOKUP($B22,'06.02 с мобил'!$B$6:$AK$50,16,0)</f>
        <v>8</v>
      </c>
      <c r="T22" s="52">
        <f>VLOOKUP($B22,'06.02 с мобил'!$B$6:$AK$50,17,0)</f>
        <v>4</v>
      </c>
      <c r="U22" s="52">
        <f t="shared" si="2"/>
        <v>50</v>
      </c>
      <c r="V22" s="45">
        <f>VLOOKUP($B22,'06.02 с мобил'!$B$6:$AK$50,19,0)-VLOOKUP($B22,'ФОТ по мобил.'!$B$6:$Q$49,8,0)</f>
        <v>19669.800000000003</v>
      </c>
      <c r="W22" s="45">
        <f>VLOOKUP($B22,'06.02 с мобил'!$B$6:$AK$50,20,0)/VLOOKUP($B22,'06.02 с мобил'!$B$6:$AK$50,19,0)*V22</f>
        <v>5900.9400000000005</v>
      </c>
      <c r="X22" s="45">
        <f t="shared" si="38"/>
        <v>25570.740000000005</v>
      </c>
      <c r="Y22" s="148">
        <f>VLOOKUP($B22,'06.02 с мобил'!$B$6:$AK$50,22,0)</f>
        <v>0</v>
      </c>
      <c r="Z22" s="147">
        <f t="shared" si="39"/>
        <v>25570.740000000005</v>
      </c>
      <c r="AA22" s="139">
        <f>VLOOKUP($B22,'06.02 с мобил'!$B$6:$AK$50,23,0)</f>
        <v>8</v>
      </c>
      <c r="AB22" s="45">
        <f>VLOOKUP($B22,'06.02 с мобил'!$B$6:$AK$50,24,0)</f>
        <v>4</v>
      </c>
      <c r="AC22" s="45">
        <f t="shared" si="4"/>
        <v>50</v>
      </c>
      <c r="AD22" s="45">
        <f>VLOOKUP($B22,'06.02 с мобил'!$B$6:$AK$50,26,0)-VLOOKUP($B22,'ФОТ по мобил.'!$B$6:$Q$49,11,0)</f>
        <v>20384.7</v>
      </c>
      <c r="AE22" s="45">
        <f>VLOOKUP($B22,'06.02 с мобил'!$B$6:$AK$50,27,0)/VLOOKUP($B22,'06.02 с мобил'!$B$6:$AK$50,26,0)*AD22</f>
        <v>6115.41</v>
      </c>
      <c r="AF22" s="45">
        <f t="shared" si="40"/>
        <v>26500.11</v>
      </c>
      <c r="AG22" s="148">
        <f>VLOOKUP($B22,'06.02 с мобил'!$B$6:$AK$50,29,0)</f>
        <v>0</v>
      </c>
      <c r="AH22" s="147">
        <f t="shared" si="41"/>
        <v>26500.11</v>
      </c>
      <c r="AI22" s="161">
        <f>VLOOKUP($B22,'06.02 с мобил'!$B$6:$AK$50,30,0)</f>
        <v>8</v>
      </c>
      <c r="AJ22" s="45">
        <f>VLOOKUP($B22,'06.02 с мобил'!$B$6:$AK$50,31,0)</f>
        <v>4</v>
      </c>
      <c r="AK22" s="45">
        <f t="shared" si="6"/>
        <v>50</v>
      </c>
      <c r="AL22" s="45">
        <f>VLOOKUP($B22,'06.02 с мобил'!$B$6:$AK$50,33,0)-VLOOKUP($B22,'ФОТ по мобил.'!$B$6:$Q$49,14,0)</f>
        <v>19781.600000000002</v>
      </c>
      <c r="AM22" s="45">
        <f>VLOOKUP($B22,'06.02 с мобил'!$B$6:$AK$50,34,0)/VLOOKUP($B22,'06.02 с мобил'!$B$6:$AK$50,33,0)*AL22</f>
        <v>5934.4800000000005</v>
      </c>
      <c r="AN22" s="45">
        <f t="shared" si="42"/>
        <v>25716.08</v>
      </c>
      <c r="AO22" s="149">
        <f>VLOOKUP($B22,'06.02 с мобил'!$B$6:$AK$50,36,0)</f>
        <v>0</v>
      </c>
      <c r="AP22" s="147">
        <f t="shared" si="43"/>
        <v>25716.08</v>
      </c>
      <c r="AQ22" s="161">
        <f>VLOOKUP($B22,'06.02 с мобил'!$B$6:$AK$50,30,0)</f>
        <v>8</v>
      </c>
      <c r="AR22" s="45">
        <f>VLOOKUP($B22,'06.02 с мобил'!$B$6:$AK$50,31,0)</f>
        <v>4</v>
      </c>
      <c r="AS22" s="45">
        <f t="shared" si="8"/>
        <v>50</v>
      </c>
      <c r="AT22" s="45">
        <f>VLOOKUP($B22,'06.02 с мобил'!$B$6:$AK$50,33,0)-VLOOKUP($B22,'ФОТ по мобил.'!$B$6:$Q$49,14,0)</f>
        <v>19781.600000000002</v>
      </c>
      <c r="AU22" s="45">
        <f>VLOOKUP($B22,'06.02 с мобил'!$B$6:$AK$50,34,0)/VLOOKUP($B22,'06.02 с мобил'!$B$6:$AK$50,33,0)*AT22</f>
        <v>5934.4800000000005</v>
      </c>
      <c r="AV22" s="45">
        <f t="shared" si="44"/>
        <v>25716.08</v>
      </c>
      <c r="AW22" s="149">
        <f>VLOOKUP($B22,'06.02 с мобил'!$B$6:$AK$50,36,0)</f>
        <v>0</v>
      </c>
      <c r="AX22" s="147">
        <f t="shared" si="45"/>
        <v>25716.08</v>
      </c>
      <c r="AY22" s="161">
        <f>VLOOKUP($B22,'06.02 с мобил'!$B$6:$AK$50,30,0)</f>
        <v>8</v>
      </c>
      <c r="AZ22" s="45">
        <f>VLOOKUP($B22,'06.02 с мобил'!$B$6:$AK$50,31,0)</f>
        <v>4</v>
      </c>
      <c r="BA22" s="45">
        <f t="shared" si="10"/>
        <v>50</v>
      </c>
      <c r="BB22" s="45">
        <f>VLOOKUP($B22,'06.02 с мобил'!$B$6:$AK$50,33,0)-VLOOKUP($B22,'ФОТ по мобил.'!$B$6:$Q$49,14,0)</f>
        <v>19781.600000000002</v>
      </c>
      <c r="BC22" s="45">
        <f>VLOOKUP($B22,'06.02 с мобил'!$B$6:$AK$50,34,0)/VLOOKUP($B22,'06.02 с мобил'!$B$6:$AK$50,33,0)*BB22</f>
        <v>5934.4800000000005</v>
      </c>
      <c r="BD22" s="45">
        <f t="shared" si="46"/>
        <v>25716.08</v>
      </c>
      <c r="BE22" s="149">
        <f>VLOOKUP($B22,'06.02 с мобил'!$B$6:$AK$50,36,0)</f>
        <v>0</v>
      </c>
      <c r="BF22" s="147">
        <f t="shared" si="47"/>
        <v>25716.08</v>
      </c>
    </row>
    <row r="23" spans="1:58" s="3" customFormat="1" ht="18.75" customHeight="1" hidden="1" outlineLevel="1">
      <c r="A23" s="159">
        <v>5</v>
      </c>
      <c r="B23" s="61" t="s">
        <v>84</v>
      </c>
      <c r="C23" s="45">
        <f t="shared" si="31"/>
        <v>0</v>
      </c>
      <c r="D23" s="45">
        <f t="shared" si="32"/>
        <v>0</v>
      </c>
      <c r="E23" s="52"/>
      <c r="F23" s="45">
        <f t="shared" si="33"/>
        <v>74170.4</v>
      </c>
      <c r="G23" s="45">
        <f t="shared" si="34"/>
        <v>22251.12</v>
      </c>
      <c r="H23" s="45">
        <f>SUM(F23:G23)</f>
        <v>96421.51999999999</v>
      </c>
      <c r="I23" s="148">
        <f t="shared" si="49"/>
        <v>0</v>
      </c>
      <c r="J23" s="147">
        <f t="shared" si="35"/>
        <v>96421.51999999999</v>
      </c>
      <c r="K23" s="137">
        <f>VLOOKUP($B23,'06.02 с мобил'!$B$6:$AK$50,9,0)</f>
        <v>0</v>
      </c>
      <c r="L23" s="52">
        <f>VLOOKUP($B23,'06.02 с мобил'!$B$6:$AK$50,10,0)</f>
        <v>0</v>
      </c>
      <c r="M23" s="52">
        <f t="shared" si="30"/>
        <v>0</v>
      </c>
      <c r="N23" s="45">
        <f>VLOOKUP($B23,'06.02 с мобил'!$B$6:$AK$50,12,0)-VLOOKUP($B23,'ФОТ по мобил.'!$B$6:$Q$49,5,0)</f>
        <v>17895.7</v>
      </c>
      <c r="O23" s="45">
        <f>VLOOKUP($B23,'06.02 с мобил'!$B$6:$AK$50,13,0)/VLOOKUP($B23,'06.02 с мобил'!$B$6:$AK$50,12,0)*N23</f>
        <v>5368.71</v>
      </c>
      <c r="P23" s="45">
        <f t="shared" si="36"/>
        <v>23264.41</v>
      </c>
      <c r="Q23" s="149">
        <f>VLOOKUP($B23,'06.02 с мобил'!$B$6:$AK$50,15,0)</f>
        <v>0</v>
      </c>
      <c r="R23" s="147">
        <f t="shared" si="37"/>
        <v>23264.41</v>
      </c>
      <c r="S23" s="59">
        <f>VLOOKUP($B23,'06.02 с мобил'!$B$6:$AK$50,16,0)</f>
        <v>0</v>
      </c>
      <c r="T23" s="52">
        <f>VLOOKUP($B23,'06.02 с мобил'!$B$6:$AK$50,17,0)</f>
        <v>0</v>
      </c>
      <c r="U23" s="52">
        <f t="shared" si="2"/>
        <v>0</v>
      </c>
      <c r="V23" s="45">
        <f>VLOOKUP($B23,'06.02 с мобил'!$B$6:$AK$50,19,0)-VLOOKUP($B23,'ФОТ по мобил.'!$B$6:$Q$49,8,0)</f>
        <v>14133.499999999998</v>
      </c>
      <c r="W23" s="45">
        <f>VLOOKUP($B23,'06.02 с мобил'!$B$6:$AK$50,20,0)/VLOOKUP($B23,'06.02 с мобил'!$B$6:$AK$50,19,0)*V23</f>
        <v>4240.049999999999</v>
      </c>
      <c r="X23" s="45">
        <f t="shared" si="38"/>
        <v>18373.549999999996</v>
      </c>
      <c r="Y23" s="148">
        <f>VLOOKUP($B23,'06.02 с мобил'!$B$6:$AK$50,22,0)</f>
        <v>0</v>
      </c>
      <c r="Z23" s="147">
        <f t="shared" si="39"/>
        <v>18373.549999999996</v>
      </c>
      <c r="AA23" s="139">
        <f>VLOOKUP($B23,'06.02 с мобил'!$B$6:$AK$50,23,0)</f>
        <v>0</v>
      </c>
      <c r="AB23" s="45">
        <f>VLOOKUP($B23,'06.02 с мобил'!$B$6:$AK$50,24,0)</f>
        <v>0</v>
      </c>
      <c r="AC23" s="45">
        <f t="shared" si="4"/>
        <v>0</v>
      </c>
      <c r="AD23" s="45">
        <f>VLOOKUP($B23,'06.02 с мобил'!$B$6:$AK$50,26,0)-VLOOKUP($B23,'ФОТ по мобил.'!$B$6:$Q$49,11,0)</f>
        <v>12650.900000000001</v>
      </c>
      <c r="AE23" s="45">
        <f>VLOOKUP($B23,'06.02 с мобил'!$B$6:$AK$50,27,0)/VLOOKUP($B23,'06.02 с мобил'!$B$6:$AK$50,26,0)*AD23</f>
        <v>3795.2700000000004</v>
      </c>
      <c r="AF23" s="45">
        <f t="shared" si="40"/>
        <v>16446.170000000002</v>
      </c>
      <c r="AG23" s="148">
        <f>VLOOKUP($B23,'06.02 с мобил'!$B$6:$AK$50,29,0)</f>
        <v>0</v>
      </c>
      <c r="AH23" s="147">
        <f t="shared" si="41"/>
        <v>16446.170000000002</v>
      </c>
      <c r="AI23" s="161">
        <f>VLOOKUP($B23,'06.02 с мобил'!$B$6:$AK$50,30,0)</f>
        <v>0</v>
      </c>
      <c r="AJ23" s="45">
        <f>VLOOKUP($B23,'06.02 с мобил'!$B$6:$AK$50,31,0)</f>
        <v>0</v>
      </c>
      <c r="AK23" s="45">
        <f t="shared" si="6"/>
        <v>0</v>
      </c>
      <c r="AL23" s="45">
        <f>VLOOKUP($B23,'06.02 с мобил'!$B$6:$AK$50,33,0)-VLOOKUP($B23,'ФОТ по мобил.'!$B$6:$Q$49,14,0)</f>
        <v>9830.1</v>
      </c>
      <c r="AM23" s="45">
        <f>VLOOKUP($B23,'06.02 с мобил'!$B$6:$AK$50,34,0)/VLOOKUP($B23,'06.02 с мобил'!$B$6:$AK$50,33,0)*AL23</f>
        <v>2949.03</v>
      </c>
      <c r="AN23" s="45">
        <f t="shared" si="42"/>
        <v>12779.130000000001</v>
      </c>
      <c r="AO23" s="149">
        <f>VLOOKUP($B23,'06.02 с мобил'!$B$6:$AK$50,36,0)</f>
        <v>0</v>
      </c>
      <c r="AP23" s="147">
        <f t="shared" si="43"/>
        <v>12779.130000000001</v>
      </c>
      <c r="AQ23" s="161">
        <f>VLOOKUP($B23,'06.02 с мобил'!$B$6:$AK$50,30,0)</f>
        <v>0</v>
      </c>
      <c r="AR23" s="45">
        <f>VLOOKUP($B23,'06.02 с мобил'!$B$6:$AK$50,31,0)</f>
        <v>0</v>
      </c>
      <c r="AS23" s="45">
        <f t="shared" si="8"/>
        <v>0</v>
      </c>
      <c r="AT23" s="45">
        <f>VLOOKUP($B23,'06.02 с мобил'!$B$6:$AK$50,33,0)-VLOOKUP($B23,'ФОТ по мобил.'!$B$6:$Q$49,14,0)</f>
        <v>9830.1</v>
      </c>
      <c r="AU23" s="45">
        <f>VLOOKUP($B23,'06.02 с мобил'!$B$6:$AK$50,34,0)/VLOOKUP($B23,'06.02 с мобил'!$B$6:$AK$50,33,0)*AT23</f>
        <v>2949.03</v>
      </c>
      <c r="AV23" s="45">
        <f t="shared" si="44"/>
        <v>12779.130000000001</v>
      </c>
      <c r="AW23" s="149">
        <f>VLOOKUP($B23,'06.02 с мобил'!$B$6:$AK$50,36,0)</f>
        <v>0</v>
      </c>
      <c r="AX23" s="147">
        <f t="shared" si="45"/>
        <v>12779.130000000001</v>
      </c>
      <c r="AY23" s="161">
        <f>VLOOKUP($B23,'06.02 с мобил'!$B$6:$AK$50,30,0)</f>
        <v>0</v>
      </c>
      <c r="AZ23" s="45">
        <f>VLOOKUP($B23,'06.02 с мобил'!$B$6:$AK$50,31,0)</f>
        <v>0</v>
      </c>
      <c r="BA23" s="45">
        <f t="shared" si="10"/>
        <v>0</v>
      </c>
      <c r="BB23" s="45">
        <f>VLOOKUP($B23,'06.02 с мобил'!$B$6:$AK$50,33,0)-VLOOKUP($B23,'ФОТ по мобил.'!$B$6:$Q$49,14,0)</f>
        <v>9830.1</v>
      </c>
      <c r="BC23" s="45">
        <f>VLOOKUP($B23,'06.02 с мобил'!$B$6:$AK$50,34,0)/VLOOKUP($B23,'06.02 с мобил'!$B$6:$AK$50,33,0)*BB23</f>
        <v>2949.03</v>
      </c>
      <c r="BD23" s="45">
        <f t="shared" si="46"/>
        <v>12779.130000000001</v>
      </c>
      <c r="BE23" s="149">
        <f>VLOOKUP($B23,'06.02 с мобил'!$B$6:$AK$50,36,0)</f>
        <v>0</v>
      </c>
      <c r="BF23" s="147">
        <f t="shared" si="47"/>
        <v>12779.130000000001</v>
      </c>
    </row>
    <row r="24" spans="1:58" s="3" customFormat="1" ht="18.75" customHeight="1" hidden="1" outlineLevel="1">
      <c r="A24" s="159">
        <v>6</v>
      </c>
      <c r="B24" s="61" t="s">
        <v>85</v>
      </c>
      <c r="C24" s="45">
        <f t="shared" si="31"/>
        <v>0</v>
      </c>
      <c r="D24" s="45">
        <f t="shared" si="32"/>
        <v>0</v>
      </c>
      <c r="E24" s="52"/>
      <c r="F24" s="45">
        <f t="shared" si="33"/>
        <v>54368.90000000001</v>
      </c>
      <c r="G24" s="45">
        <f t="shared" si="34"/>
        <v>16310.669999999998</v>
      </c>
      <c r="H24" s="45">
        <f t="shared" si="48"/>
        <v>70679.57</v>
      </c>
      <c r="I24" s="148">
        <f t="shared" si="49"/>
        <v>0</v>
      </c>
      <c r="J24" s="147">
        <f t="shared" si="35"/>
        <v>70679.57</v>
      </c>
      <c r="K24" s="137">
        <f>VLOOKUP($B24,'06.02 с мобил'!$B$6:$AK$50,9,0)</f>
        <v>0</v>
      </c>
      <c r="L24" s="52">
        <f>VLOOKUP($B24,'06.02 с мобил'!$B$6:$AK$50,10,0)</f>
        <v>0</v>
      </c>
      <c r="M24" s="52">
        <f t="shared" si="30"/>
        <v>0</v>
      </c>
      <c r="N24" s="45">
        <f>VLOOKUP($B24,'06.02 с мобил'!$B$6:$AK$50,12,0)-VLOOKUP($B24,'ФОТ по мобил.'!$B$6:$Q$49,5,0)</f>
        <v>9152.4</v>
      </c>
      <c r="O24" s="45">
        <f>VLOOKUP($B24,'06.02 с мобил'!$B$6:$AK$50,13,0)/VLOOKUP($B24,'06.02 с мобил'!$B$6:$AK$50,12,0)*N24</f>
        <v>2745.72</v>
      </c>
      <c r="P24" s="45">
        <f t="shared" si="36"/>
        <v>11898.119999999999</v>
      </c>
      <c r="Q24" s="149">
        <f>VLOOKUP($B24,'06.02 с мобил'!$B$6:$AK$50,15,0)</f>
        <v>0</v>
      </c>
      <c r="R24" s="147">
        <f t="shared" si="37"/>
        <v>11898.119999999999</v>
      </c>
      <c r="S24" s="59">
        <f>VLOOKUP($B24,'06.02 с мобил'!$B$6:$AK$50,16,0)</f>
        <v>0</v>
      </c>
      <c r="T24" s="52">
        <f>VLOOKUP($B24,'06.02 с мобил'!$B$6:$AK$50,17,0)</f>
        <v>0</v>
      </c>
      <c r="U24" s="52">
        <f t="shared" si="2"/>
        <v>0</v>
      </c>
      <c r="V24" s="45">
        <f>VLOOKUP($B24,'06.02 с мобил'!$B$6:$AK$50,19,0)-VLOOKUP($B24,'ФОТ по мобил.'!$B$6:$Q$49,8,0)</f>
        <v>8941.900000000001</v>
      </c>
      <c r="W24" s="45">
        <f>VLOOKUP($B24,'06.02 с мобил'!$B$6:$AK$50,20,0)/VLOOKUP($B24,'06.02 с мобил'!$B$6:$AK$50,19,0)*V24</f>
        <v>2682.57</v>
      </c>
      <c r="X24" s="45">
        <f t="shared" si="38"/>
        <v>11624.470000000001</v>
      </c>
      <c r="Y24" s="148">
        <f>VLOOKUP($B24,'06.02 с мобил'!$B$6:$AK$50,22,0)</f>
        <v>0</v>
      </c>
      <c r="Z24" s="147">
        <f t="shared" si="39"/>
        <v>11624.470000000001</v>
      </c>
      <c r="AA24" s="139">
        <f>VLOOKUP($B24,'06.02 с мобил'!$B$6:$AK$50,23,0)</f>
        <v>0</v>
      </c>
      <c r="AB24" s="45">
        <f>VLOOKUP($B24,'06.02 с мобил'!$B$6:$AK$50,24,0)</f>
        <v>0</v>
      </c>
      <c r="AC24" s="45">
        <f t="shared" si="4"/>
        <v>0</v>
      </c>
      <c r="AD24" s="45">
        <f>VLOOKUP($B24,'06.02 с мобил'!$B$6:$AK$50,26,0)-VLOOKUP($B24,'ФОТ по мобил.'!$B$6:$Q$49,11,0)</f>
        <v>9173.2</v>
      </c>
      <c r="AE24" s="45">
        <f>VLOOKUP($B24,'06.02 с мобил'!$B$6:$AK$50,27,0)/VLOOKUP($B24,'06.02 с мобил'!$B$6:$AK$50,26,0)*AD24</f>
        <v>2751.96</v>
      </c>
      <c r="AF24" s="45">
        <f t="shared" si="40"/>
        <v>11925.16</v>
      </c>
      <c r="AG24" s="148">
        <f>VLOOKUP($B24,'06.02 с мобил'!$B$6:$AK$50,29,0)</f>
        <v>0</v>
      </c>
      <c r="AH24" s="147">
        <f t="shared" si="41"/>
        <v>11925.16</v>
      </c>
      <c r="AI24" s="161">
        <f>VLOOKUP($B24,'06.02 с мобил'!$B$6:$AK$50,30,0)</f>
        <v>0</v>
      </c>
      <c r="AJ24" s="45">
        <f>VLOOKUP($B24,'06.02 с мобил'!$B$6:$AK$50,31,0)</f>
        <v>0</v>
      </c>
      <c r="AK24" s="45">
        <f t="shared" si="6"/>
        <v>0</v>
      </c>
      <c r="AL24" s="45">
        <f>VLOOKUP($B24,'06.02 с мобил'!$B$6:$AK$50,33,0)-VLOOKUP($B24,'ФОТ по мобил.'!$B$6:$Q$49,14,0)</f>
        <v>9033.8</v>
      </c>
      <c r="AM24" s="45">
        <f>VLOOKUP($B24,'06.02 с мобил'!$B$6:$AK$50,34,0)/VLOOKUP($B24,'06.02 с мобил'!$B$6:$AK$50,33,0)*AL24</f>
        <v>2710.14</v>
      </c>
      <c r="AN24" s="45">
        <f t="shared" si="42"/>
        <v>11743.939999999999</v>
      </c>
      <c r="AO24" s="149">
        <f>VLOOKUP($B24,'06.02 с мобил'!$B$6:$AK$50,36,0)</f>
        <v>0</v>
      </c>
      <c r="AP24" s="147">
        <f t="shared" si="43"/>
        <v>11743.939999999999</v>
      </c>
      <c r="AQ24" s="161">
        <f>VLOOKUP($B24,'06.02 с мобил'!$B$6:$AK$50,30,0)</f>
        <v>0</v>
      </c>
      <c r="AR24" s="45">
        <f>VLOOKUP($B24,'06.02 с мобил'!$B$6:$AK$50,31,0)</f>
        <v>0</v>
      </c>
      <c r="AS24" s="45">
        <f t="shared" si="8"/>
        <v>0</v>
      </c>
      <c r="AT24" s="45">
        <f>VLOOKUP($B24,'06.02 с мобил'!$B$6:$AK$50,33,0)-VLOOKUP($B24,'ФОТ по мобил.'!$B$6:$Q$49,14,0)</f>
        <v>9033.8</v>
      </c>
      <c r="AU24" s="45">
        <f>VLOOKUP($B24,'06.02 с мобил'!$B$6:$AK$50,34,0)/VLOOKUP($B24,'06.02 с мобил'!$B$6:$AK$50,33,0)*AT24</f>
        <v>2710.14</v>
      </c>
      <c r="AV24" s="45">
        <f t="shared" si="44"/>
        <v>11743.939999999999</v>
      </c>
      <c r="AW24" s="149">
        <f>VLOOKUP($B24,'06.02 с мобил'!$B$6:$AK$50,36,0)</f>
        <v>0</v>
      </c>
      <c r="AX24" s="147">
        <f t="shared" si="45"/>
        <v>11743.939999999999</v>
      </c>
      <c r="AY24" s="161">
        <f>VLOOKUP($B24,'06.02 с мобил'!$B$6:$AK$50,30,0)</f>
        <v>0</v>
      </c>
      <c r="AZ24" s="45">
        <f>VLOOKUP($B24,'06.02 с мобил'!$B$6:$AK$50,31,0)</f>
        <v>0</v>
      </c>
      <c r="BA24" s="45">
        <f t="shared" si="10"/>
        <v>0</v>
      </c>
      <c r="BB24" s="45">
        <f>VLOOKUP($B24,'06.02 с мобил'!$B$6:$AK$50,33,0)-VLOOKUP($B24,'ФОТ по мобил.'!$B$6:$Q$49,14,0)</f>
        <v>9033.8</v>
      </c>
      <c r="BC24" s="45">
        <f>VLOOKUP($B24,'06.02 с мобил'!$B$6:$AK$50,34,0)/VLOOKUP($B24,'06.02 с мобил'!$B$6:$AK$50,33,0)*BB24</f>
        <v>2710.14</v>
      </c>
      <c r="BD24" s="45">
        <f t="shared" si="46"/>
        <v>11743.939999999999</v>
      </c>
      <c r="BE24" s="149">
        <f>VLOOKUP($B24,'06.02 с мобил'!$B$6:$AK$50,36,0)</f>
        <v>0</v>
      </c>
      <c r="BF24" s="147">
        <f t="shared" si="47"/>
        <v>11743.939999999999</v>
      </c>
    </row>
    <row r="25" spans="1:58" s="3" customFormat="1" ht="18.75" customHeight="1" hidden="1" outlineLevel="1">
      <c r="A25" s="159">
        <v>7</v>
      </c>
      <c r="B25" s="61" t="s">
        <v>86</v>
      </c>
      <c r="C25" s="45">
        <f t="shared" si="31"/>
        <v>0</v>
      </c>
      <c r="D25" s="45">
        <f t="shared" si="32"/>
        <v>0</v>
      </c>
      <c r="E25" s="52"/>
      <c r="F25" s="45">
        <f t="shared" si="33"/>
        <v>31481.243272727268</v>
      </c>
      <c r="G25" s="45">
        <f t="shared" si="34"/>
        <v>9444.372981818182</v>
      </c>
      <c r="H25" s="45">
        <f t="shared" si="48"/>
        <v>40925.61625454545</v>
      </c>
      <c r="I25" s="148">
        <f t="shared" si="49"/>
        <v>0</v>
      </c>
      <c r="J25" s="147">
        <f t="shared" si="35"/>
        <v>40925.61625454545</v>
      </c>
      <c r="K25" s="137">
        <f>VLOOKUP($B25,'06.02 с мобил'!$B$6:$AK$50,9,0)</f>
        <v>0</v>
      </c>
      <c r="L25" s="52">
        <f>VLOOKUP($B25,'06.02 с мобил'!$B$6:$AK$50,10,0)</f>
        <v>0</v>
      </c>
      <c r="M25" s="52">
        <f t="shared" si="30"/>
        <v>0</v>
      </c>
      <c r="N25" s="45">
        <f>VLOOKUP($B25,'06.02 с мобил'!$B$6:$AK$50,12,0)-VLOOKUP($B25,'ФОТ по мобил.'!$B$6:$Q$49,5,0)</f>
        <v>5759.416</v>
      </c>
      <c r="O25" s="45">
        <f>VLOOKUP($B25,'06.02 с мобил'!$B$6:$AK$50,13,0)/VLOOKUP($B25,'06.02 с мобил'!$B$6:$AK$50,12,0)*N25</f>
        <v>1727.8248</v>
      </c>
      <c r="P25" s="45">
        <f t="shared" si="36"/>
        <v>7487.2408000000005</v>
      </c>
      <c r="Q25" s="149">
        <f>VLOOKUP($B25,'06.02 с мобил'!$B$6:$AK$50,15,0)</f>
        <v>0</v>
      </c>
      <c r="R25" s="147">
        <f t="shared" si="37"/>
        <v>7487.2408000000005</v>
      </c>
      <c r="S25" s="59">
        <f>VLOOKUP($B25,'06.02 с мобил'!$B$6:$AK$50,16,0)</f>
        <v>0</v>
      </c>
      <c r="T25" s="52">
        <f>VLOOKUP($B25,'06.02 с мобил'!$B$6:$AK$50,17,0)</f>
        <v>0</v>
      </c>
      <c r="U25" s="52">
        <f t="shared" si="2"/>
        <v>0</v>
      </c>
      <c r="V25" s="45">
        <f>VLOOKUP($B25,'06.02 с мобил'!$B$6:$AK$50,19,0)-VLOOKUP($B25,'ФОТ по мобил.'!$B$6:$Q$49,8,0)</f>
        <v>5215.9</v>
      </c>
      <c r="W25" s="45">
        <f>VLOOKUP($B25,'06.02 с мобил'!$B$6:$AK$50,20,0)/VLOOKUP($B25,'06.02 с мобил'!$B$6:$AK$50,19,0)*V25</f>
        <v>1564.7699999999998</v>
      </c>
      <c r="X25" s="45">
        <f t="shared" si="38"/>
        <v>6780.669999999999</v>
      </c>
      <c r="Y25" s="148">
        <f>VLOOKUP($B25,'06.02 с мобил'!$B$6:$AK$50,22,0)</f>
        <v>0</v>
      </c>
      <c r="Z25" s="147">
        <f t="shared" si="39"/>
        <v>6780.669999999999</v>
      </c>
      <c r="AA25" s="139">
        <f>VLOOKUP($B25,'06.02 с мобил'!$B$6:$AK$50,23,0)</f>
        <v>0</v>
      </c>
      <c r="AB25" s="45">
        <f>VLOOKUP($B25,'06.02 с мобил'!$B$6:$AK$50,24,0)</f>
        <v>0</v>
      </c>
      <c r="AC25" s="45">
        <f t="shared" si="4"/>
        <v>0</v>
      </c>
      <c r="AD25" s="45">
        <f>VLOOKUP($B25,'06.02 с мобил'!$B$6:$AK$50,26,0)-VLOOKUP($B25,'ФОТ по мобил.'!$B$6:$Q$49,11,0)</f>
        <v>5820</v>
      </c>
      <c r="AE25" s="45">
        <f>VLOOKUP($B25,'06.02 с мобил'!$B$6:$AK$50,27,0)/VLOOKUP($B25,'06.02 с мобил'!$B$6:$AK$50,26,0)*AD25</f>
        <v>1746</v>
      </c>
      <c r="AF25" s="45">
        <f t="shared" si="40"/>
        <v>7566</v>
      </c>
      <c r="AG25" s="148">
        <f>VLOOKUP($B25,'06.02 с мобил'!$B$6:$AK$50,29,0)</f>
        <v>0</v>
      </c>
      <c r="AH25" s="147">
        <f t="shared" si="41"/>
        <v>7566</v>
      </c>
      <c r="AI25" s="161">
        <f>VLOOKUP($B25,'06.02 с мобил'!$B$6:$AK$50,30,0)</f>
        <v>0</v>
      </c>
      <c r="AJ25" s="45">
        <f>VLOOKUP($B25,'06.02 с мобил'!$B$6:$AK$50,31,0)</f>
        <v>0</v>
      </c>
      <c r="AK25" s="45">
        <f t="shared" si="6"/>
        <v>0</v>
      </c>
      <c r="AL25" s="45">
        <f>VLOOKUP($B25,'06.02 с мобил'!$B$6:$AK$50,33,0)-VLOOKUP($B25,'ФОТ по мобил.'!$B$6:$Q$49,14,0)</f>
        <v>4895.309090909091</v>
      </c>
      <c r="AM25" s="45">
        <f>VLOOKUP($B25,'06.02 с мобил'!$B$6:$AK$50,34,0)/VLOOKUP($B25,'06.02 с мобил'!$B$6:$AK$50,33,0)*AL25</f>
        <v>1468.5927272727272</v>
      </c>
      <c r="AN25" s="45">
        <f t="shared" si="42"/>
        <v>6363.901818181817</v>
      </c>
      <c r="AO25" s="149">
        <f>VLOOKUP($B25,'06.02 с мобил'!$B$6:$AK$50,36,0)</f>
        <v>0</v>
      </c>
      <c r="AP25" s="147">
        <f t="shared" si="43"/>
        <v>6363.901818181817</v>
      </c>
      <c r="AQ25" s="161">
        <f>VLOOKUP($B25,'06.02 с мобил'!$B$6:$AK$50,30,0)</f>
        <v>0</v>
      </c>
      <c r="AR25" s="45">
        <f>VLOOKUP($B25,'06.02 с мобил'!$B$6:$AK$50,31,0)</f>
        <v>0</v>
      </c>
      <c r="AS25" s="45">
        <f t="shared" si="8"/>
        <v>0</v>
      </c>
      <c r="AT25" s="45">
        <f>VLOOKUP($B25,'06.02 с мобил'!$B$6:$AK$50,33,0)-VLOOKUP($B25,'ФОТ по мобил.'!$B$6:$Q$49,14,0)</f>
        <v>4895.309090909091</v>
      </c>
      <c r="AU25" s="45">
        <f>VLOOKUP($B25,'06.02 с мобил'!$B$6:$AK$50,34,0)/VLOOKUP($B25,'06.02 с мобил'!$B$6:$AK$50,33,0)*AT25</f>
        <v>1468.5927272727272</v>
      </c>
      <c r="AV25" s="45">
        <f t="shared" si="44"/>
        <v>6363.901818181817</v>
      </c>
      <c r="AW25" s="149">
        <f>VLOOKUP($B25,'06.02 с мобил'!$B$6:$AK$50,36,0)</f>
        <v>0</v>
      </c>
      <c r="AX25" s="147">
        <f t="shared" si="45"/>
        <v>6363.901818181817</v>
      </c>
      <c r="AY25" s="161">
        <f>VLOOKUP($B25,'06.02 с мобил'!$B$6:$AK$50,30,0)</f>
        <v>0</v>
      </c>
      <c r="AZ25" s="45">
        <f>VLOOKUP($B25,'06.02 с мобил'!$B$6:$AK$50,31,0)</f>
        <v>0</v>
      </c>
      <c r="BA25" s="45">
        <f t="shared" si="10"/>
        <v>0</v>
      </c>
      <c r="BB25" s="45">
        <f>VLOOKUP($B25,'06.02 с мобил'!$B$6:$AK$50,33,0)-VLOOKUP($B25,'ФОТ по мобил.'!$B$6:$Q$49,14,0)</f>
        <v>4895.309090909091</v>
      </c>
      <c r="BC25" s="45">
        <f>VLOOKUP($B25,'06.02 с мобил'!$B$6:$AK$50,34,0)/VLOOKUP($B25,'06.02 с мобил'!$B$6:$AK$50,33,0)*BB25</f>
        <v>1468.5927272727272</v>
      </c>
      <c r="BD25" s="45">
        <f t="shared" si="46"/>
        <v>6363.901818181817</v>
      </c>
      <c r="BE25" s="149">
        <f>VLOOKUP($B25,'06.02 с мобил'!$B$6:$AK$50,36,0)</f>
        <v>0</v>
      </c>
      <c r="BF25" s="147">
        <f t="shared" si="47"/>
        <v>6363.901818181817</v>
      </c>
    </row>
    <row r="26" spans="1:58" s="3" customFormat="1" ht="18.75" customHeight="1" hidden="1" outlineLevel="1">
      <c r="A26" s="159">
        <v>8</v>
      </c>
      <c r="B26" s="61" t="s">
        <v>87</v>
      </c>
      <c r="C26" s="45">
        <f t="shared" si="31"/>
        <v>0</v>
      </c>
      <c r="D26" s="45">
        <f t="shared" si="32"/>
        <v>0</v>
      </c>
      <c r="E26" s="52"/>
      <c r="F26" s="45">
        <f t="shared" si="33"/>
        <v>24315.9</v>
      </c>
      <c r="G26" s="45">
        <f t="shared" si="34"/>
        <v>7294.7699999999995</v>
      </c>
      <c r="H26" s="45">
        <f t="shared" si="48"/>
        <v>31610.670000000002</v>
      </c>
      <c r="I26" s="148">
        <f t="shared" si="49"/>
        <v>0</v>
      </c>
      <c r="J26" s="147">
        <f t="shared" si="35"/>
        <v>31610.670000000002</v>
      </c>
      <c r="K26" s="137">
        <f>VLOOKUP($B26,'06.02 с мобил'!$B$6:$AK$50,9,0)</f>
        <v>0</v>
      </c>
      <c r="L26" s="52">
        <f>VLOOKUP($B26,'06.02 с мобил'!$B$6:$AK$50,10,0)</f>
        <v>0</v>
      </c>
      <c r="M26" s="52">
        <f t="shared" si="30"/>
        <v>0</v>
      </c>
      <c r="N26" s="45">
        <f>VLOOKUP($B26,'06.02 с мобил'!$B$6:$AK$50,12,0)-VLOOKUP($B26,'ФОТ по мобил.'!$B$6:$Q$49,5,0)</f>
        <v>4273.8</v>
      </c>
      <c r="O26" s="45">
        <f>VLOOKUP($B26,'06.02 с мобил'!$B$6:$AK$50,13,0)/VLOOKUP($B26,'06.02 с мобил'!$B$6:$AK$50,12,0)*N26</f>
        <v>1282.14</v>
      </c>
      <c r="P26" s="45">
        <f t="shared" si="36"/>
        <v>5555.9400000000005</v>
      </c>
      <c r="Q26" s="149">
        <f>VLOOKUP($B26,'06.02 с мобил'!$B$6:$AK$50,15,0)</f>
        <v>0</v>
      </c>
      <c r="R26" s="147">
        <f t="shared" si="37"/>
        <v>5555.9400000000005</v>
      </c>
      <c r="S26" s="59">
        <f>VLOOKUP($B26,'06.02 с мобил'!$B$6:$AK$50,16,0)</f>
        <v>0</v>
      </c>
      <c r="T26" s="52">
        <f>VLOOKUP($B26,'06.02 с мобил'!$B$6:$AK$50,17,0)</f>
        <v>0</v>
      </c>
      <c r="U26" s="52">
        <f t="shared" si="2"/>
        <v>0</v>
      </c>
      <c r="V26" s="45">
        <f>VLOOKUP($B26,'06.02 с мобил'!$B$6:$AK$50,19,0)-VLOOKUP($B26,'ФОТ по мобил.'!$B$6:$Q$49,8,0)</f>
        <v>4186.1</v>
      </c>
      <c r="W26" s="45">
        <f>VLOOKUP($B26,'06.02 с мобил'!$B$6:$AK$50,20,0)/VLOOKUP($B26,'06.02 с мобил'!$B$6:$AK$50,19,0)*V26</f>
        <v>1255.8300000000002</v>
      </c>
      <c r="X26" s="45">
        <f t="shared" si="38"/>
        <v>5441.93</v>
      </c>
      <c r="Y26" s="148">
        <f>VLOOKUP($B26,'06.02 с мобил'!$B$6:$AK$50,22,0)</f>
        <v>0</v>
      </c>
      <c r="Z26" s="147">
        <f t="shared" si="39"/>
        <v>5441.93</v>
      </c>
      <c r="AA26" s="139">
        <f>VLOOKUP($B26,'06.02 с мобил'!$B$6:$AK$50,23,0)</f>
        <v>0</v>
      </c>
      <c r="AB26" s="45">
        <f>VLOOKUP($B26,'06.02 с мобил'!$B$6:$AK$50,24,0)</f>
        <v>0</v>
      </c>
      <c r="AC26" s="45">
        <f t="shared" si="4"/>
        <v>0</v>
      </c>
      <c r="AD26" s="45">
        <f>VLOOKUP($B26,'06.02 с мобил'!$B$6:$AK$50,26,0)-VLOOKUP($B26,'ФОТ по мобил.'!$B$6:$Q$49,11,0)</f>
        <v>4274.5</v>
      </c>
      <c r="AE26" s="45">
        <f>VLOOKUP($B26,'06.02 с мобил'!$B$6:$AK$50,27,0)/VLOOKUP($B26,'06.02 с мобил'!$B$6:$AK$50,26,0)*AD26</f>
        <v>1282.35</v>
      </c>
      <c r="AF26" s="45">
        <f t="shared" si="40"/>
        <v>5556.85</v>
      </c>
      <c r="AG26" s="148">
        <f>VLOOKUP($B26,'06.02 с мобил'!$B$6:$AK$50,29,0)</f>
        <v>0</v>
      </c>
      <c r="AH26" s="147">
        <f t="shared" si="41"/>
        <v>5556.85</v>
      </c>
      <c r="AI26" s="161">
        <f>VLOOKUP($B26,'06.02 с мобил'!$B$6:$AK$50,30,0)</f>
        <v>0</v>
      </c>
      <c r="AJ26" s="45">
        <f>VLOOKUP($B26,'06.02 с мобил'!$B$6:$AK$50,31,0)</f>
        <v>0</v>
      </c>
      <c r="AK26" s="45">
        <f t="shared" si="6"/>
        <v>0</v>
      </c>
      <c r="AL26" s="45">
        <f>VLOOKUP($B26,'06.02 с мобил'!$B$6:$AK$50,33,0)-VLOOKUP($B26,'ФОТ по мобил.'!$B$6:$Q$49,14,0)</f>
        <v>3860.5</v>
      </c>
      <c r="AM26" s="45">
        <f>VLOOKUP($B26,'06.02 с мобил'!$B$6:$AK$50,34,0)/VLOOKUP($B26,'06.02 с мобил'!$B$6:$AK$50,33,0)*AL26</f>
        <v>1158.1499999999999</v>
      </c>
      <c r="AN26" s="45">
        <f t="shared" si="42"/>
        <v>5018.65</v>
      </c>
      <c r="AO26" s="149">
        <f>VLOOKUP($B26,'06.02 с мобил'!$B$6:$AK$50,36,0)</f>
        <v>0</v>
      </c>
      <c r="AP26" s="147">
        <f t="shared" si="43"/>
        <v>5018.65</v>
      </c>
      <c r="AQ26" s="161">
        <f>VLOOKUP($B26,'06.02 с мобил'!$B$6:$AK$50,30,0)</f>
        <v>0</v>
      </c>
      <c r="AR26" s="45">
        <f>VLOOKUP($B26,'06.02 с мобил'!$B$6:$AK$50,31,0)</f>
        <v>0</v>
      </c>
      <c r="AS26" s="45">
        <f t="shared" si="8"/>
        <v>0</v>
      </c>
      <c r="AT26" s="45">
        <f>VLOOKUP($B26,'06.02 с мобил'!$B$6:$AK$50,33,0)-VLOOKUP($B26,'ФОТ по мобил.'!$B$6:$Q$49,14,0)</f>
        <v>3860.5</v>
      </c>
      <c r="AU26" s="45">
        <f>VLOOKUP($B26,'06.02 с мобил'!$B$6:$AK$50,34,0)/VLOOKUP($B26,'06.02 с мобил'!$B$6:$AK$50,33,0)*AT26</f>
        <v>1158.1499999999999</v>
      </c>
      <c r="AV26" s="45">
        <f t="shared" si="44"/>
        <v>5018.65</v>
      </c>
      <c r="AW26" s="149">
        <f>VLOOKUP($B26,'06.02 с мобил'!$B$6:$AK$50,36,0)</f>
        <v>0</v>
      </c>
      <c r="AX26" s="147">
        <f t="shared" si="45"/>
        <v>5018.65</v>
      </c>
      <c r="AY26" s="161">
        <f>VLOOKUP($B26,'06.02 с мобил'!$B$6:$AK$50,30,0)</f>
        <v>0</v>
      </c>
      <c r="AZ26" s="45">
        <f>VLOOKUP($B26,'06.02 с мобил'!$B$6:$AK$50,31,0)</f>
        <v>0</v>
      </c>
      <c r="BA26" s="45">
        <f t="shared" si="10"/>
        <v>0</v>
      </c>
      <c r="BB26" s="45">
        <f>VLOOKUP($B26,'06.02 с мобил'!$B$6:$AK$50,33,0)-VLOOKUP($B26,'ФОТ по мобил.'!$B$6:$Q$49,14,0)</f>
        <v>3860.5</v>
      </c>
      <c r="BC26" s="45">
        <f>VLOOKUP($B26,'06.02 с мобил'!$B$6:$AK$50,34,0)/VLOOKUP($B26,'06.02 с мобил'!$B$6:$AK$50,33,0)*BB26</f>
        <v>1158.1499999999999</v>
      </c>
      <c r="BD26" s="45">
        <f t="shared" si="46"/>
        <v>5018.65</v>
      </c>
      <c r="BE26" s="149">
        <f>VLOOKUP($B26,'06.02 с мобил'!$B$6:$AK$50,36,0)</f>
        <v>0</v>
      </c>
      <c r="BF26" s="147">
        <f t="shared" si="47"/>
        <v>5018.65</v>
      </c>
    </row>
    <row r="27" spans="1:58" s="3" customFormat="1" ht="18.75" customHeight="1" hidden="1" outlineLevel="1">
      <c r="A27" s="159">
        <v>9</v>
      </c>
      <c r="B27" s="61" t="s">
        <v>88</v>
      </c>
      <c r="C27" s="45">
        <f t="shared" si="31"/>
        <v>0</v>
      </c>
      <c r="D27" s="45">
        <f t="shared" si="32"/>
        <v>0</v>
      </c>
      <c r="E27" s="52"/>
      <c r="F27" s="45">
        <f t="shared" si="33"/>
        <v>12317.199999999999</v>
      </c>
      <c r="G27" s="45">
        <f t="shared" si="34"/>
        <v>3695.1600000000003</v>
      </c>
      <c r="H27" s="45">
        <f t="shared" si="48"/>
        <v>16012.359999999999</v>
      </c>
      <c r="I27" s="148">
        <f t="shared" si="49"/>
        <v>0</v>
      </c>
      <c r="J27" s="147">
        <f t="shared" si="35"/>
        <v>16012.359999999999</v>
      </c>
      <c r="K27" s="137">
        <f>VLOOKUP($B27,'06.02 с мобил'!$B$6:$AK$50,9,0)</f>
        <v>0</v>
      </c>
      <c r="L27" s="52">
        <f>VLOOKUP($B27,'06.02 с мобил'!$B$6:$AK$50,10,0)</f>
        <v>0</v>
      </c>
      <c r="M27" s="52">
        <f t="shared" si="30"/>
        <v>0</v>
      </c>
      <c r="N27" s="45">
        <f>VLOOKUP($B27,'06.02 с мобил'!$B$6:$AK$50,12,0)-VLOOKUP($B27,'ФОТ по мобил.'!$B$6:$Q$49,5,0)</f>
        <v>1983.6</v>
      </c>
      <c r="O27" s="45">
        <f>VLOOKUP($B27,'06.02 с мобил'!$B$6:$AK$50,13,0)/VLOOKUP($B27,'06.02 с мобил'!$B$6:$AK$50,12,0)*N27</f>
        <v>595.0799999999999</v>
      </c>
      <c r="P27" s="45">
        <f t="shared" si="36"/>
        <v>2578.68</v>
      </c>
      <c r="Q27" s="149">
        <f>VLOOKUP($B27,'06.02 с мобил'!$B$6:$AK$50,15,0)</f>
        <v>0</v>
      </c>
      <c r="R27" s="147">
        <f t="shared" si="37"/>
        <v>2578.68</v>
      </c>
      <c r="S27" s="59">
        <f>VLOOKUP($B27,'06.02 с мобил'!$B$6:$AK$50,16,0)</f>
        <v>0</v>
      </c>
      <c r="T27" s="52">
        <f>VLOOKUP($B27,'06.02 с мобил'!$B$6:$AK$50,17,0)</f>
        <v>0</v>
      </c>
      <c r="U27" s="52">
        <f t="shared" si="2"/>
        <v>0</v>
      </c>
      <c r="V27" s="45">
        <f>VLOOKUP($B27,'06.02 с мобил'!$B$6:$AK$50,19,0)-VLOOKUP($B27,'ФОТ по мобил.'!$B$6:$Q$49,8,0)</f>
        <v>1992.3000000000002</v>
      </c>
      <c r="W27" s="45">
        <f>VLOOKUP($B27,'06.02 с мобил'!$B$6:$AK$50,20,0)/VLOOKUP($B27,'06.02 с мобил'!$B$6:$AK$50,19,0)*V27</f>
        <v>597.69</v>
      </c>
      <c r="X27" s="45">
        <f t="shared" si="38"/>
        <v>2589.9900000000002</v>
      </c>
      <c r="Y27" s="148">
        <f>VLOOKUP($B27,'06.02 с мобил'!$B$6:$AK$50,22,0)</f>
        <v>0</v>
      </c>
      <c r="Z27" s="147">
        <f t="shared" si="39"/>
        <v>2589.9900000000002</v>
      </c>
      <c r="AA27" s="139">
        <f>VLOOKUP($B27,'06.02 с мобил'!$B$6:$AK$50,23,0)</f>
        <v>0</v>
      </c>
      <c r="AB27" s="45">
        <f>VLOOKUP($B27,'06.02 с мобил'!$B$6:$AK$50,24,0)</f>
        <v>0</v>
      </c>
      <c r="AC27" s="45">
        <f t="shared" si="4"/>
        <v>0</v>
      </c>
      <c r="AD27" s="45">
        <f>VLOOKUP($B27,'06.02 с мобил'!$B$6:$AK$50,26,0)-VLOOKUP($B27,'ФОТ по мобил.'!$B$6:$Q$49,11,0)</f>
        <v>2200.6</v>
      </c>
      <c r="AE27" s="45">
        <f>VLOOKUP($B27,'06.02 с мобил'!$B$6:$AK$50,27,0)/VLOOKUP($B27,'06.02 с мобил'!$B$6:$AK$50,26,0)*AD27</f>
        <v>660.18</v>
      </c>
      <c r="AF27" s="45">
        <f t="shared" si="40"/>
        <v>2860.7799999999997</v>
      </c>
      <c r="AG27" s="148">
        <f>VLOOKUP($B27,'06.02 с мобил'!$B$6:$AK$50,29,0)</f>
        <v>0</v>
      </c>
      <c r="AH27" s="147">
        <f t="shared" si="41"/>
        <v>2860.7799999999997</v>
      </c>
      <c r="AI27" s="161">
        <f>VLOOKUP($B27,'06.02 с мобил'!$B$6:$AK$50,30,0)</f>
        <v>0</v>
      </c>
      <c r="AJ27" s="45">
        <f>VLOOKUP($B27,'06.02 с мобил'!$B$6:$AK$50,31,0)</f>
        <v>0</v>
      </c>
      <c r="AK27" s="45">
        <f t="shared" si="6"/>
        <v>0</v>
      </c>
      <c r="AL27" s="45">
        <f>VLOOKUP($B27,'06.02 с мобил'!$B$6:$AK$50,33,0)-VLOOKUP($B27,'ФОТ по мобил.'!$B$6:$Q$49,14,0)</f>
        <v>2046.9</v>
      </c>
      <c r="AM27" s="45">
        <f>VLOOKUP($B27,'06.02 с мобил'!$B$6:$AK$50,34,0)/VLOOKUP($B27,'06.02 с мобил'!$B$6:$AK$50,33,0)*AL27</f>
        <v>614.07</v>
      </c>
      <c r="AN27" s="45">
        <f t="shared" si="42"/>
        <v>2660.9700000000003</v>
      </c>
      <c r="AO27" s="149">
        <f>VLOOKUP($B27,'06.02 с мобил'!$B$6:$AK$50,36,0)</f>
        <v>0</v>
      </c>
      <c r="AP27" s="147">
        <f t="shared" si="43"/>
        <v>2660.9700000000003</v>
      </c>
      <c r="AQ27" s="161">
        <f>VLOOKUP($B27,'06.02 с мобил'!$B$6:$AK$50,30,0)</f>
        <v>0</v>
      </c>
      <c r="AR27" s="45">
        <f>VLOOKUP($B27,'06.02 с мобил'!$B$6:$AK$50,31,0)</f>
        <v>0</v>
      </c>
      <c r="AS27" s="45">
        <f t="shared" si="8"/>
        <v>0</v>
      </c>
      <c r="AT27" s="45">
        <f>VLOOKUP($B27,'06.02 с мобил'!$B$6:$AK$50,33,0)-VLOOKUP($B27,'ФОТ по мобил.'!$B$6:$Q$49,14,0)</f>
        <v>2046.9</v>
      </c>
      <c r="AU27" s="45">
        <f>VLOOKUP($B27,'06.02 с мобил'!$B$6:$AK$50,34,0)/VLOOKUP($B27,'06.02 с мобил'!$B$6:$AK$50,33,0)*AT27</f>
        <v>614.07</v>
      </c>
      <c r="AV27" s="45">
        <f t="shared" si="44"/>
        <v>2660.9700000000003</v>
      </c>
      <c r="AW27" s="149">
        <f>VLOOKUP($B27,'06.02 с мобил'!$B$6:$AK$50,36,0)</f>
        <v>0</v>
      </c>
      <c r="AX27" s="147">
        <f t="shared" si="45"/>
        <v>2660.9700000000003</v>
      </c>
      <c r="AY27" s="161">
        <f>VLOOKUP($B27,'06.02 с мобил'!$B$6:$AK$50,30,0)</f>
        <v>0</v>
      </c>
      <c r="AZ27" s="45">
        <f>VLOOKUP($B27,'06.02 с мобил'!$B$6:$AK$50,31,0)</f>
        <v>0</v>
      </c>
      <c r="BA27" s="45">
        <f t="shared" si="10"/>
        <v>0</v>
      </c>
      <c r="BB27" s="45">
        <f>VLOOKUP($B27,'06.02 с мобил'!$B$6:$AK$50,33,0)-VLOOKUP($B27,'ФОТ по мобил.'!$B$6:$Q$49,14,0)</f>
        <v>2046.9</v>
      </c>
      <c r="BC27" s="45">
        <f>VLOOKUP($B27,'06.02 с мобил'!$B$6:$AK$50,34,0)/VLOOKUP($B27,'06.02 с мобил'!$B$6:$AK$50,33,0)*BB27</f>
        <v>614.07</v>
      </c>
      <c r="BD27" s="45">
        <f t="shared" si="46"/>
        <v>2660.9700000000003</v>
      </c>
      <c r="BE27" s="149">
        <f>VLOOKUP($B27,'06.02 с мобил'!$B$6:$AK$50,36,0)</f>
        <v>0</v>
      </c>
      <c r="BF27" s="147">
        <f t="shared" si="47"/>
        <v>2660.9700000000003</v>
      </c>
    </row>
    <row r="28" spans="1:58" s="3" customFormat="1" ht="18.75" customHeight="1" hidden="1" outlineLevel="1">
      <c r="A28" s="159">
        <v>10</v>
      </c>
      <c r="B28" s="61" t="s">
        <v>74</v>
      </c>
      <c r="C28" s="45">
        <f t="shared" si="31"/>
        <v>0</v>
      </c>
      <c r="D28" s="45">
        <f t="shared" si="32"/>
        <v>0</v>
      </c>
      <c r="E28" s="52"/>
      <c r="F28" s="45">
        <f t="shared" si="33"/>
        <v>51285.100000000006</v>
      </c>
      <c r="G28" s="45">
        <f t="shared" si="34"/>
        <v>15385.529999999999</v>
      </c>
      <c r="H28" s="45">
        <f t="shared" si="48"/>
        <v>66670.63</v>
      </c>
      <c r="I28" s="148">
        <f t="shared" si="49"/>
        <v>0</v>
      </c>
      <c r="J28" s="147">
        <f t="shared" si="35"/>
        <v>66670.63</v>
      </c>
      <c r="K28" s="137">
        <f>VLOOKUP($B28,'06.02 с мобил'!$B$6:$AK$50,9,0)</f>
        <v>0</v>
      </c>
      <c r="L28" s="52">
        <f>VLOOKUP($B28,'06.02 с мобил'!$B$6:$AK$50,10,0)</f>
        <v>0</v>
      </c>
      <c r="M28" s="52">
        <f t="shared" si="30"/>
        <v>0</v>
      </c>
      <c r="N28" s="45">
        <f>VLOOKUP($B28,'06.02 с мобил'!$B$6:$AK$50,12,0)-VLOOKUP($B28,'ФОТ по мобил.'!$B$6:$Q$49,5,0)</f>
        <v>9854.1</v>
      </c>
      <c r="O28" s="45">
        <f>VLOOKUP($B28,'06.02 с мобил'!$B$6:$AK$50,13,0)/VLOOKUP($B28,'06.02 с мобил'!$B$6:$AK$50,12,0)*N28</f>
        <v>2956.23</v>
      </c>
      <c r="P28" s="45">
        <f t="shared" si="36"/>
        <v>12810.33</v>
      </c>
      <c r="Q28" s="149">
        <f>VLOOKUP($B28,'06.02 с мобил'!$B$6:$AK$50,15,0)</f>
        <v>0</v>
      </c>
      <c r="R28" s="147">
        <f t="shared" si="37"/>
        <v>12810.33</v>
      </c>
      <c r="S28" s="59">
        <f>VLOOKUP($B28,'06.02 с мобил'!$B$6:$AK$50,16,0)</f>
        <v>0</v>
      </c>
      <c r="T28" s="52">
        <f>VLOOKUP($B28,'06.02 с мобил'!$B$6:$AK$50,17,0)</f>
        <v>0</v>
      </c>
      <c r="U28" s="52">
        <f t="shared" si="2"/>
        <v>0</v>
      </c>
      <c r="V28" s="45">
        <f>VLOOKUP($B28,'06.02 с мобил'!$B$6:$AK$50,19,0)-VLOOKUP($B28,'ФОТ по мобил.'!$B$6:$Q$49,8,0)</f>
        <v>8256.8</v>
      </c>
      <c r="W28" s="45">
        <f>VLOOKUP($B28,'06.02 с мобил'!$B$6:$AK$50,20,0)/VLOOKUP($B28,'06.02 с мобил'!$B$6:$AK$50,19,0)*V28</f>
        <v>2477.0399999999995</v>
      </c>
      <c r="X28" s="45">
        <f t="shared" si="38"/>
        <v>10733.839999999998</v>
      </c>
      <c r="Y28" s="148">
        <f>VLOOKUP($B28,'06.02 с мобил'!$B$6:$AK$50,22,0)</f>
        <v>0</v>
      </c>
      <c r="Z28" s="147">
        <f t="shared" si="39"/>
        <v>10733.839999999998</v>
      </c>
      <c r="AA28" s="139">
        <f>VLOOKUP($B28,'06.02 с мобил'!$B$6:$AK$50,23,0)</f>
        <v>0</v>
      </c>
      <c r="AB28" s="45">
        <f>VLOOKUP($B28,'06.02 с мобил'!$B$6:$AK$50,24,0)</f>
        <v>0</v>
      </c>
      <c r="AC28" s="45">
        <f t="shared" si="4"/>
        <v>0</v>
      </c>
      <c r="AD28" s="45">
        <f>VLOOKUP($B28,'06.02 с мобил'!$B$6:$AK$50,26,0)-VLOOKUP($B28,'ФОТ по мобил.'!$B$6:$Q$49,11,0)</f>
        <v>8541.800000000001</v>
      </c>
      <c r="AE28" s="45">
        <f>VLOOKUP($B28,'06.02 с мобил'!$B$6:$AK$50,27,0)/VLOOKUP($B28,'06.02 с мобил'!$B$6:$AK$50,26,0)*AD28</f>
        <v>2562.5400000000004</v>
      </c>
      <c r="AF28" s="45">
        <f t="shared" si="40"/>
        <v>11104.340000000002</v>
      </c>
      <c r="AG28" s="148">
        <f>VLOOKUP($B28,'06.02 с мобил'!$B$6:$AK$50,29,0)</f>
        <v>0</v>
      </c>
      <c r="AH28" s="147">
        <f t="shared" si="41"/>
        <v>11104.340000000002</v>
      </c>
      <c r="AI28" s="161">
        <f>VLOOKUP($B28,'06.02 с мобил'!$B$6:$AK$50,30,0)</f>
        <v>0</v>
      </c>
      <c r="AJ28" s="45">
        <f>VLOOKUP($B28,'06.02 с мобил'!$B$6:$AK$50,31,0)</f>
        <v>0</v>
      </c>
      <c r="AK28" s="45">
        <f t="shared" si="6"/>
        <v>0</v>
      </c>
      <c r="AL28" s="45">
        <f>VLOOKUP($B28,'06.02 с мобил'!$B$6:$AK$50,33,0)-VLOOKUP($B28,'ФОТ по мобил.'!$B$6:$Q$49,14,0)</f>
        <v>8210.8</v>
      </c>
      <c r="AM28" s="45">
        <f>VLOOKUP($B28,'06.02 с мобил'!$B$6:$AK$50,34,0)/VLOOKUP($B28,'06.02 с мобил'!$B$6:$AK$50,33,0)*AL28</f>
        <v>2463.24</v>
      </c>
      <c r="AN28" s="45">
        <f t="shared" si="42"/>
        <v>10674.039999999999</v>
      </c>
      <c r="AO28" s="149">
        <f>VLOOKUP($B28,'06.02 с мобил'!$B$6:$AK$50,36,0)</f>
        <v>0</v>
      </c>
      <c r="AP28" s="147">
        <f t="shared" si="43"/>
        <v>10674.039999999999</v>
      </c>
      <c r="AQ28" s="161">
        <f>VLOOKUP($B28,'06.02 с мобил'!$B$6:$AK$50,30,0)</f>
        <v>0</v>
      </c>
      <c r="AR28" s="45">
        <f>VLOOKUP($B28,'06.02 с мобил'!$B$6:$AK$50,31,0)</f>
        <v>0</v>
      </c>
      <c r="AS28" s="45">
        <f t="shared" si="8"/>
        <v>0</v>
      </c>
      <c r="AT28" s="45">
        <f>VLOOKUP($B28,'06.02 с мобил'!$B$6:$AK$50,33,0)-VLOOKUP($B28,'ФОТ по мобил.'!$B$6:$Q$49,14,0)</f>
        <v>8210.8</v>
      </c>
      <c r="AU28" s="45">
        <f>VLOOKUP($B28,'06.02 с мобил'!$B$6:$AK$50,34,0)/VLOOKUP($B28,'06.02 с мобил'!$B$6:$AK$50,33,0)*AT28</f>
        <v>2463.24</v>
      </c>
      <c r="AV28" s="45">
        <f t="shared" si="44"/>
        <v>10674.039999999999</v>
      </c>
      <c r="AW28" s="149">
        <f>VLOOKUP($B28,'06.02 с мобил'!$B$6:$AK$50,36,0)</f>
        <v>0</v>
      </c>
      <c r="AX28" s="147">
        <f t="shared" si="45"/>
        <v>10674.039999999999</v>
      </c>
      <c r="AY28" s="161">
        <f>VLOOKUP($B28,'06.02 с мобил'!$B$6:$AK$50,30,0)</f>
        <v>0</v>
      </c>
      <c r="AZ28" s="45">
        <f>VLOOKUP($B28,'06.02 с мобил'!$B$6:$AK$50,31,0)</f>
        <v>0</v>
      </c>
      <c r="BA28" s="45">
        <f t="shared" si="10"/>
        <v>0</v>
      </c>
      <c r="BB28" s="45">
        <f>VLOOKUP($B28,'06.02 с мобил'!$B$6:$AK$50,33,0)-VLOOKUP($B28,'ФОТ по мобил.'!$B$6:$Q$49,14,0)</f>
        <v>8210.8</v>
      </c>
      <c r="BC28" s="45">
        <f>VLOOKUP($B28,'06.02 с мобил'!$B$6:$AK$50,34,0)/VLOOKUP($B28,'06.02 с мобил'!$B$6:$AK$50,33,0)*BB28</f>
        <v>2463.24</v>
      </c>
      <c r="BD28" s="45">
        <f t="shared" si="46"/>
        <v>10674.039999999999</v>
      </c>
      <c r="BE28" s="149">
        <f>VLOOKUP($B28,'06.02 с мобил'!$B$6:$AK$50,36,0)</f>
        <v>0</v>
      </c>
      <c r="BF28" s="147">
        <f t="shared" si="47"/>
        <v>10674.039999999999</v>
      </c>
    </row>
    <row r="29" spans="1:58" s="13" customFormat="1" ht="18.75" customHeight="1" hidden="1" outlineLevel="1">
      <c r="A29" s="159">
        <v>11</v>
      </c>
      <c r="B29" s="61" t="s">
        <v>89</v>
      </c>
      <c r="C29" s="45">
        <f t="shared" si="31"/>
        <v>0</v>
      </c>
      <c r="D29" s="45">
        <f t="shared" si="32"/>
        <v>0</v>
      </c>
      <c r="E29" s="52"/>
      <c r="F29" s="45">
        <f t="shared" si="33"/>
        <v>71051.90000000001</v>
      </c>
      <c r="G29" s="45">
        <f t="shared" si="34"/>
        <v>21315.569999999996</v>
      </c>
      <c r="H29" s="45">
        <f t="shared" si="48"/>
        <v>92367.47</v>
      </c>
      <c r="I29" s="148">
        <f t="shared" si="49"/>
        <v>0</v>
      </c>
      <c r="J29" s="147">
        <f t="shared" si="35"/>
        <v>92367.47</v>
      </c>
      <c r="K29" s="137">
        <f>VLOOKUP($B29,'06.02 с мобил'!$B$6:$AK$50,9,0)</f>
        <v>0</v>
      </c>
      <c r="L29" s="52">
        <f>VLOOKUP($B29,'06.02 с мобил'!$B$6:$AK$50,10,0)</f>
        <v>0</v>
      </c>
      <c r="M29" s="52">
        <f t="shared" si="30"/>
        <v>0</v>
      </c>
      <c r="N29" s="45">
        <f>VLOOKUP($B29,'06.02 с мобил'!$B$6:$AK$50,12,0)-VLOOKUP($B29,'ФОТ по мобил.'!$B$6:$Q$49,5,0)</f>
        <v>12162.5</v>
      </c>
      <c r="O29" s="45">
        <f>VLOOKUP($B29,'06.02 с мобил'!$B$6:$AK$50,13,0)/VLOOKUP($B29,'06.02 с мобил'!$B$6:$AK$50,12,0)*N29</f>
        <v>3648.75</v>
      </c>
      <c r="P29" s="45">
        <f t="shared" si="36"/>
        <v>15811.25</v>
      </c>
      <c r="Q29" s="149">
        <f>VLOOKUP($B29,'06.02 с мобил'!$B$6:$AK$50,15,0)</f>
        <v>0</v>
      </c>
      <c r="R29" s="147">
        <f t="shared" si="37"/>
        <v>15811.25</v>
      </c>
      <c r="S29" s="59">
        <f>VLOOKUP($B29,'06.02 с мобил'!$B$6:$AK$50,16,0)</f>
        <v>0</v>
      </c>
      <c r="T29" s="52">
        <f>VLOOKUP($B29,'06.02 с мобил'!$B$6:$AK$50,17,0)</f>
        <v>0</v>
      </c>
      <c r="U29" s="52">
        <f t="shared" si="2"/>
        <v>0</v>
      </c>
      <c r="V29" s="45">
        <f>VLOOKUP($B29,'06.02 с мобил'!$B$6:$AK$50,19,0)-VLOOKUP($B29,'ФОТ по мобил.'!$B$6:$Q$49,8,0)</f>
        <v>11743.8</v>
      </c>
      <c r="W29" s="45">
        <f>VLOOKUP($B29,'06.02 с мобил'!$B$6:$AK$50,20,0)/VLOOKUP($B29,'06.02 с мобил'!$B$6:$AK$50,19,0)*V29</f>
        <v>3523.14</v>
      </c>
      <c r="X29" s="45">
        <f t="shared" si="38"/>
        <v>15266.939999999999</v>
      </c>
      <c r="Y29" s="148">
        <f>VLOOKUP($B29,'06.02 с мобил'!$B$6:$AK$50,22,0)</f>
        <v>0</v>
      </c>
      <c r="Z29" s="147">
        <f t="shared" si="39"/>
        <v>15266.939999999999</v>
      </c>
      <c r="AA29" s="139">
        <f>VLOOKUP($B29,'06.02 с мобил'!$B$6:$AK$50,23,0)</f>
        <v>0</v>
      </c>
      <c r="AB29" s="45">
        <f>VLOOKUP($B29,'06.02 с мобил'!$B$6:$AK$50,24,0)</f>
        <v>0</v>
      </c>
      <c r="AC29" s="45">
        <f t="shared" si="4"/>
        <v>0</v>
      </c>
      <c r="AD29" s="45">
        <f>VLOOKUP($B29,'06.02 с мобил'!$B$6:$AK$50,26,0)-VLOOKUP($B29,'ФОТ по мобил.'!$B$6:$Q$49,11,0)</f>
        <v>11843.7</v>
      </c>
      <c r="AE29" s="45">
        <f>VLOOKUP($B29,'06.02 с мобил'!$B$6:$AK$50,27,0)/VLOOKUP($B29,'06.02 с мобил'!$B$6:$AK$50,26,0)*AD29</f>
        <v>3553.11</v>
      </c>
      <c r="AF29" s="45">
        <f t="shared" si="40"/>
        <v>15396.810000000001</v>
      </c>
      <c r="AG29" s="148">
        <f>VLOOKUP($B29,'06.02 с мобил'!$B$6:$AK$50,29,0)</f>
        <v>0</v>
      </c>
      <c r="AH29" s="147">
        <f t="shared" si="41"/>
        <v>15396.810000000001</v>
      </c>
      <c r="AI29" s="161">
        <f>VLOOKUP($B29,'06.02 с мобил'!$B$6:$AK$50,30,0)</f>
        <v>0</v>
      </c>
      <c r="AJ29" s="45">
        <f>VLOOKUP($B29,'06.02 с мобил'!$B$6:$AK$50,31,0)</f>
        <v>0</v>
      </c>
      <c r="AK29" s="45">
        <f t="shared" si="6"/>
        <v>0</v>
      </c>
      <c r="AL29" s="45">
        <f>VLOOKUP($B29,'06.02 с мобил'!$B$6:$AK$50,33,0)-VLOOKUP($B29,'ФОТ по мобил.'!$B$6:$Q$49,14,0)</f>
        <v>11767.3</v>
      </c>
      <c r="AM29" s="45">
        <f>VLOOKUP($B29,'06.02 с мобил'!$B$6:$AK$50,34,0)/VLOOKUP($B29,'06.02 с мобил'!$B$6:$AK$50,33,0)*AL29</f>
        <v>3530.1899999999996</v>
      </c>
      <c r="AN29" s="45">
        <f t="shared" si="42"/>
        <v>15297.489999999998</v>
      </c>
      <c r="AO29" s="149">
        <f>VLOOKUP($B29,'06.02 с мобил'!$B$6:$AK$50,36,0)</f>
        <v>0</v>
      </c>
      <c r="AP29" s="147">
        <f t="shared" si="43"/>
        <v>15297.489999999998</v>
      </c>
      <c r="AQ29" s="161">
        <f>VLOOKUP($B29,'06.02 с мобил'!$B$6:$AK$50,30,0)</f>
        <v>0</v>
      </c>
      <c r="AR29" s="45">
        <f>VLOOKUP($B29,'06.02 с мобил'!$B$6:$AK$50,31,0)</f>
        <v>0</v>
      </c>
      <c r="AS29" s="45">
        <f t="shared" si="8"/>
        <v>0</v>
      </c>
      <c r="AT29" s="45">
        <f>VLOOKUP($B29,'06.02 с мобил'!$B$6:$AK$50,33,0)-VLOOKUP($B29,'ФОТ по мобил.'!$B$6:$Q$49,14,0)</f>
        <v>11767.3</v>
      </c>
      <c r="AU29" s="45">
        <f>VLOOKUP($B29,'06.02 с мобил'!$B$6:$AK$50,34,0)/VLOOKUP($B29,'06.02 с мобил'!$B$6:$AK$50,33,0)*AT29</f>
        <v>3530.1899999999996</v>
      </c>
      <c r="AV29" s="45">
        <f t="shared" si="44"/>
        <v>15297.489999999998</v>
      </c>
      <c r="AW29" s="149">
        <f>VLOOKUP($B29,'06.02 с мобил'!$B$6:$AK$50,36,0)</f>
        <v>0</v>
      </c>
      <c r="AX29" s="147">
        <f t="shared" si="45"/>
        <v>15297.489999999998</v>
      </c>
      <c r="AY29" s="161">
        <f>VLOOKUP($B29,'06.02 с мобил'!$B$6:$AK$50,30,0)</f>
        <v>0</v>
      </c>
      <c r="AZ29" s="45">
        <f>VLOOKUP($B29,'06.02 с мобил'!$B$6:$AK$50,31,0)</f>
        <v>0</v>
      </c>
      <c r="BA29" s="45">
        <f t="shared" si="10"/>
        <v>0</v>
      </c>
      <c r="BB29" s="45">
        <f>VLOOKUP($B29,'06.02 с мобил'!$B$6:$AK$50,33,0)-VLOOKUP($B29,'ФОТ по мобил.'!$B$6:$Q$49,14,0)</f>
        <v>11767.3</v>
      </c>
      <c r="BC29" s="45">
        <f>VLOOKUP($B29,'06.02 с мобил'!$B$6:$AK$50,34,0)/VLOOKUP($B29,'06.02 с мобил'!$B$6:$AK$50,33,0)*BB29</f>
        <v>3530.1899999999996</v>
      </c>
      <c r="BD29" s="45">
        <f t="shared" si="46"/>
        <v>15297.489999999998</v>
      </c>
      <c r="BE29" s="149">
        <f>VLOOKUP($B29,'06.02 с мобил'!$B$6:$AK$50,36,0)</f>
        <v>0</v>
      </c>
      <c r="BF29" s="147">
        <f t="shared" si="47"/>
        <v>15297.489999999998</v>
      </c>
    </row>
    <row r="30" spans="1:58" s="3" customFormat="1" ht="18.75" collapsed="1">
      <c r="A30" s="153" t="s">
        <v>4</v>
      </c>
      <c r="B30" s="37" t="s">
        <v>140</v>
      </c>
      <c r="C30" s="49">
        <f>SUM(C31:C46)</f>
        <v>282.70000000000005</v>
      </c>
      <c r="D30" s="49">
        <f>SUM(D31:D46)</f>
        <v>178.561</v>
      </c>
      <c r="E30" s="49">
        <f aca="true" t="shared" si="50" ref="E30:E35">D30/C30*100</f>
        <v>63.162716660771125</v>
      </c>
      <c r="F30" s="49">
        <f>SUM(F31:F46)</f>
        <v>1266386.1999999997</v>
      </c>
      <c r="G30" s="49">
        <f>SUM(G31:G46)</f>
        <v>379915.86</v>
      </c>
      <c r="H30" s="49">
        <f>SUM(F30:G30)</f>
        <v>1646302.0599999996</v>
      </c>
      <c r="I30" s="127">
        <f>SUM(I31:I46)</f>
        <v>0</v>
      </c>
      <c r="J30" s="145">
        <f>SUM(J31:J46)</f>
        <v>1646302.06</v>
      </c>
      <c r="K30" s="118">
        <f>SUM(K31:K46)</f>
        <v>36.2</v>
      </c>
      <c r="L30" s="49">
        <f>SUM(L31:L46)</f>
        <v>39.632</v>
      </c>
      <c r="M30" s="49">
        <f>_xlfn.IFERROR(L30/K30*100,0)</f>
        <v>109.4806629834254</v>
      </c>
      <c r="N30" s="49">
        <f>SUM(N31:N46)</f>
        <v>213655.59999999998</v>
      </c>
      <c r="O30" s="49">
        <f>SUM(O31:O46)</f>
        <v>64096.679999999986</v>
      </c>
      <c r="P30" s="49">
        <f>SUM(N30:O30)</f>
        <v>277752.27999999997</v>
      </c>
      <c r="Q30" s="127">
        <f>SUM(Q31:Q46)</f>
        <v>0</v>
      </c>
      <c r="R30" s="145">
        <f>SUM(R31:R46)</f>
        <v>277752.27999999997</v>
      </c>
      <c r="S30" s="164">
        <f>SUM(S31:S46)</f>
        <v>34.4</v>
      </c>
      <c r="T30" s="49">
        <f>SUM(T31:T46)</f>
        <v>37.629000000000005</v>
      </c>
      <c r="U30" s="49">
        <f>_xlfn.IFERROR(T30/S30*100,0)</f>
        <v>109.38662790697676</v>
      </c>
      <c r="V30" s="49">
        <f>SUM(V31:V46)</f>
        <v>208769.59999999998</v>
      </c>
      <c r="W30" s="49">
        <f>SUM(W31:W46)</f>
        <v>62630.87999999999</v>
      </c>
      <c r="X30" s="49">
        <f>SUM(V30:W30)</f>
        <v>271400.48</v>
      </c>
      <c r="Y30" s="127">
        <f>SUM(Y31:Y46)</f>
        <v>0</v>
      </c>
      <c r="Z30" s="145">
        <f>SUM(Z31:Z46)</f>
        <v>271400.48000000004</v>
      </c>
      <c r="AA30" s="118">
        <f>SUM(AA31:AA46)</f>
        <v>45.900000000000006</v>
      </c>
      <c r="AB30" s="49">
        <f>SUM(AB31:AB46)</f>
        <v>45.900000000000006</v>
      </c>
      <c r="AC30" s="49">
        <f>_xlfn.IFERROR(AB30/AA30*100,0)</f>
        <v>100</v>
      </c>
      <c r="AD30" s="49">
        <f>SUM(AD31:AD46)</f>
        <v>213985.3</v>
      </c>
      <c r="AE30" s="49">
        <f>SUM(AE31:AE46)</f>
        <v>64195.58999999999</v>
      </c>
      <c r="AF30" s="49">
        <f>SUM(AD30:AE30)</f>
        <v>278180.88999999996</v>
      </c>
      <c r="AG30" s="127">
        <f>SUM(AG31:AG46)</f>
        <v>0</v>
      </c>
      <c r="AH30" s="145">
        <f>SUM(AH31:AH46)</f>
        <v>278180.8899999999</v>
      </c>
      <c r="AI30" s="164">
        <f>SUM(AI31:AI46)</f>
        <v>55.400000000000006</v>
      </c>
      <c r="AJ30" s="49">
        <f>SUM(AJ31:AJ46)</f>
        <v>55.400000000000006</v>
      </c>
      <c r="AK30" s="49">
        <f>_xlfn.IFERROR(AJ30/AI30*100,0)</f>
        <v>100</v>
      </c>
      <c r="AL30" s="49">
        <f>SUM(AL31:AL46)</f>
        <v>209991.9</v>
      </c>
      <c r="AM30" s="49">
        <f>SUM(AM31:AM46)</f>
        <v>62997.57000000001</v>
      </c>
      <c r="AN30" s="49">
        <f>SUM(AL30:AM30)</f>
        <v>272989.47</v>
      </c>
      <c r="AO30" s="127">
        <f>SUM(AO31:AO46)</f>
        <v>0</v>
      </c>
      <c r="AP30" s="145">
        <f>SUM(AP31:AP46)</f>
        <v>272989.47000000003</v>
      </c>
      <c r="AQ30" s="164">
        <f>SUM(AQ31:AQ46)</f>
        <v>55.400000000000006</v>
      </c>
      <c r="AR30" s="49">
        <f>SUM(AR31:AR46)</f>
        <v>55.400000000000006</v>
      </c>
      <c r="AS30" s="49">
        <f>_xlfn.IFERROR(AR30/AQ30*100,0)</f>
        <v>100</v>
      </c>
      <c r="AT30" s="49">
        <f>SUM(AT31:AT46)</f>
        <v>209991.9</v>
      </c>
      <c r="AU30" s="49">
        <f>SUM(AU31:AU46)</f>
        <v>62997.57000000001</v>
      </c>
      <c r="AV30" s="49">
        <f>SUM(AT30:AU30)</f>
        <v>272989.47</v>
      </c>
      <c r="AW30" s="127">
        <f>SUM(AW31:AW46)</f>
        <v>0</v>
      </c>
      <c r="AX30" s="145">
        <f>SUM(AX31:AX46)</f>
        <v>272989.47000000003</v>
      </c>
      <c r="AY30" s="164">
        <f>SUM(AY31:AY46)</f>
        <v>55.400000000000006</v>
      </c>
      <c r="AZ30" s="49">
        <f>SUM(AZ31:AZ46)</f>
        <v>55.400000000000006</v>
      </c>
      <c r="BA30" s="49">
        <f>_xlfn.IFERROR(AZ30/AY30*100,0)</f>
        <v>100</v>
      </c>
      <c r="BB30" s="49">
        <f>SUM(BB31:BB46)</f>
        <v>209991.9</v>
      </c>
      <c r="BC30" s="49">
        <f>SUM(BC31:BC46)</f>
        <v>62997.57000000001</v>
      </c>
      <c r="BD30" s="49">
        <f>SUM(BB30:BC30)</f>
        <v>272989.47</v>
      </c>
      <c r="BE30" s="127">
        <f>SUM(BE31:BE46)</f>
        <v>0</v>
      </c>
      <c r="BF30" s="145">
        <f>SUM(BF31:BF46)</f>
        <v>272989.47000000003</v>
      </c>
    </row>
    <row r="31" spans="1:58" s="3" customFormat="1" ht="18.75" hidden="1" outlineLevel="1">
      <c r="A31" s="162">
        <v>1</v>
      </c>
      <c r="B31" s="36" t="s">
        <v>90</v>
      </c>
      <c r="C31" s="45">
        <f aca="true" t="shared" si="51" ref="C31:C46">K31+S31+AA31+AI31+AQ31+AY31</f>
        <v>83.7</v>
      </c>
      <c r="D31" s="45">
        <f aca="true" t="shared" si="52" ref="D31:D50">L31+T31+AB31+AJ31</f>
        <v>58.400000000000006</v>
      </c>
      <c r="E31" s="45">
        <f t="shared" si="50"/>
        <v>69.77299880525688</v>
      </c>
      <c r="F31" s="45">
        <f aca="true" t="shared" si="53" ref="F31:F46">N31+V31+AD31+AL31+AT31+BB31</f>
        <v>271424.60000000003</v>
      </c>
      <c r="G31" s="45">
        <f aca="true" t="shared" si="54" ref="G31:G46">O31+W31+AE31+AM31+AU31+BC31</f>
        <v>81427.37999999999</v>
      </c>
      <c r="H31" s="47">
        <f>SUM(F31:G31)</f>
        <v>352851.98000000004</v>
      </c>
      <c r="I31" s="148">
        <f t="shared" si="49"/>
        <v>0</v>
      </c>
      <c r="J31" s="147">
        <f aca="true" t="shared" si="55" ref="J31:J50">(I31-H31)*-1</f>
        <v>352851.98000000004</v>
      </c>
      <c r="K31" s="137">
        <f>VLOOKUP($B31,'06.02 с мобил'!$B$6:$AK$50,9,0)</f>
        <v>14.3</v>
      </c>
      <c r="L31" s="52">
        <f>VLOOKUP($B31,'06.02 с мобил'!$B$6:$AK$50,10,0)</f>
        <v>17.2</v>
      </c>
      <c r="M31" s="51">
        <f aca="true" t="shared" si="56" ref="M31:M46">_xlfn.IFERROR(L31/K31*100,0)</f>
        <v>120.27972027972027</v>
      </c>
      <c r="N31" s="52">
        <f>VLOOKUP($B31,'06.02 с мобил'!$B$6:$AK$50,12,0)-VLOOKUP($B31,'ФОТ по мобил.'!$B$6:$Q$49,5,0)</f>
        <v>45853.6</v>
      </c>
      <c r="O31" s="52">
        <f>VLOOKUP($B31,'06.02 с мобил'!$B$6:$AK$50,13,0)/VLOOKUP($B31,'06.02 с мобил'!$B$6:$AK$50,12,0)*N31</f>
        <v>13756.08</v>
      </c>
      <c r="P31" s="133">
        <f aca="true" t="shared" si="57" ref="P31:P50">SUM(N31:O31)</f>
        <v>59609.68</v>
      </c>
      <c r="Q31" s="149">
        <f>VLOOKUP($B31,'06.02 с мобил'!$B$6:$AK$50,15,0)</f>
        <v>0</v>
      </c>
      <c r="R31" s="147">
        <f aca="true" t="shared" si="58" ref="R31:R50">(Q31-P31)*-1</f>
        <v>59609.68</v>
      </c>
      <c r="S31" s="59">
        <f>VLOOKUP($B31,'06.02 с мобил'!$B$6:$AK$50,16,0)</f>
        <v>13.1</v>
      </c>
      <c r="T31" s="52">
        <f>VLOOKUP($B31,'06.02 с мобил'!$B$6:$AK$50,17,0)</f>
        <v>12.9</v>
      </c>
      <c r="U31" s="51">
        <f aca="true" t="shared" si="59" ref="U31:U49">_xlfn.IFERROR(T31/S31*100,0)</f>
        <v>98.4732824427481</v>
      </c>
      <c r="V31" s="52">
        <f>VLOOKUP($B31,'06.02 с мобил'!$B$6:$AK$50,19,0)-VLOOKUP($B31,'ФОТ по мобил.'!$B$6:$Q$49,8,0)</f>
        <v>46266.6</v>
      </c>
      <c r="W31" s="52">
        <f>VLOOKUP($B31,'06.02 с мобил'!$B$6:$AK$50,20,0)/VLOOKUP($B31,'06.02 с мобил'!$B$6:$AK$50,19,0)*V31</f>
        <v>13879.98</v>
      </c>
      <c r="X31" s="47">
        <f aca="true" t="shared" si="60" ref="X31:X50">SUM(V31:W31)</f>
        <v>60146.58</v>
      </c>
      <c r="Y31" s="149">
        <f>VLOOKUP($B31,'06.02 с мобил'!$B$6:$AK$50,22,0)</f>
        <v>0</v>
      </c>
      <c r="Z31" s="147">
        <f aca="true" t="shared" si="61" ref="Z31:Z50">(Y31-X31)*-1</f>
        <v>60146.58</v>
      </c>
      <c r="AA31" s="137">
        <f>VLOOKUP($B31,'06.02 с мобил'!$B$6:$AK$50,23,0)</f>
        <v>14.3</v>
      </c>
      <c r="AB31" s="52">
        <f>VLOOKUP($B31,'06.02 с мобил'!$B$6:$AK$50,24,0)</f>
        <v>14.3</v>
      </c>
      <c r="AC31" s="51">
        <f aca="true" t="shared" si="62" ref="AC31:AC49">_xlfn.IFERROR(AB31/AA31*100,0)</f>
        <v>100</v>
      </c>
      <c r="AD31" s="52">
        <f>VLOOKUP($B31,'06.02 с мобил'!$B$6:$AK$50,26,0)-VLOOKUP($B31,'ФОТ по мобил.'!$B$6:$Q$49,11,0)</f>
        <v>46021.3</v>
      </c>
      <c r="AE31" s="52">
        <f>VLOOKUP($B31,'06.02 с мобил'!$B$6:$AK$50,27,0)/VLOOKUP($B31,'06.02 с мобил'!$B$6:$AK$50,26,0)*AD31</f>
        <v>13806.390000000001</v>
      </c>
      <c r="AF31" s="47">
        <f aca="true" t="shared" si="63" ref="AF31:AF50">SUM(AD31:AE31)</f>
        <v>59827.69</v>
      </c>
      <c r="AG31" s="149">
        <f>VLOOKUP($B31,'06.02 с мобил'!$B$6:$AK$50,29,0)</f>
        <v>0</v>
      </c>
      <c r="AH31" s="147">
        <f aca="true" t="shared" si="64" ref="AH31:AH50">(AG31-AF31)*-1</f>
        <v>59827.69</v>
      </c>
      <c r="AI31" s="59">
        <f>VLOOKUP($B31,'06.02 с мобил'!$B$6:$AK$50,30,0)</f>
        <v>14</v>
      </c>
      <c r="AJ31" s="52">
        <f>VLOOKUP($B31,'06.02 с мобил'!$B$6:$AK$50,31,0)</f>
        <v>14</v>
      </c>
      <c r="AK31" s="51">
        <f aca="true" t="shared" si="65" ref="AK31:AK49">_xlfn.IFERROR(AJ31/AI31*100,0)</f>
        <v>100</v>
      </c>
      <c r="AL31" s="52">
        <f>VLOOKUP($B31,'06.02 с мобил'!$B$6:$AK$50,33,0)-VLOOKUP($B31,'ФОТ по мобил.'!$B$6:$Q$49,14,0)</f>
        <v>44427.7</v>
      </c>
      <c r="AM31" s="52">
        <f>VLOOKUP($B31,'06.02 с мобил'!$B$6:$AK$50,34,0)/VLOOKUP($B31,'06.02 с мобил'!$B$6:$AK$50,33,0)*AL31</f>
        <v>13328.31</v>
      </c>
      <c r="AN31" s="47">
        <f aca="true" t="shared" si="66" ref="AN31:AN50">SUM(AL31:AM31)</f>
        <v>57756.009999999995</v>
      </c>
      <c r="AO31" s="149">
        <f>VLOOKUP($B31,'06.02 с мобил'!$B$6:$AK$50,36,0)</f>
        <v>0</v>
      </c>
      <c r="AP31" s="147">
        <f aca="true" t="shared" si="67" ref="AP31:AP50">(AO31-AN31)*-1</f>
        <v>57756.009999999995</v>
      </c>
      <c r="AQ31" s="59">
        <f>VLOOKUP($B31,'06.02 с мобил'!$B$6:$AK$50,30,0)</f>
        <v>14</v>
      </c>
      <c r="AR31" s="52">
        <f>VLOOKUP($B31,'06.02 с мобил'!$B$6:$AK$50,31,0)</f>
        <v>14</v>
      </c>
      <c r="AS31" s="51">
        <f aca="true" t="shared" si="68" ref="AS31:AS49">_xlfn.IFERROR(AR31/AQ31*100,0)</f>
        <v>100</v>
      </c>
      <c r="AT31" s="52">
        <f>VLOOKUP($B31,'06.02 с мобил'!$B$6:$AK$50,33,0)-VLOOKUP($B31,'ФОТ по мобил.'!$B$6:$Q$49,14,0)</f>
        <v>44427.7</v>
      </c>
      <c r="AU31" s="52">
        <f>VLOOKUP($B31,'06.02 с мобил'!$B$6:$AK$50,34,0)/VLOOKUP($B31,'06.02 с мобил'!$B$6:$AK$50,33,0)*AT31</f>
        <v>13328.31</v>
      </c>
      <c r="AV31" s="47">
        <f aca="true" t="shared" si="69" ref="AV31:AV50">SUM(AT31:AU31)</f>
        <v>57756.009999999995</v>
      </c>
      <c r="AW31" s="149">
        <f>VLOOKUP($B31,'06.02 с мобил'!$B$6:$AK$50,36,0)</f>
        <v>0</v>
      </c>
      <c r="AX31" s="147">
        <f aca="true" t="shared" si="70" ref="AX31:AX50">(AW31-AV31)*-1</f>
        <v>57756.009999999995</v>
      </c>
      <c r="AY31" s="59">
        <f>VLOOKUP($B31,'06.02 с мобил'!$B$6:$AK$50,30,0)</f>
        <v>14</v>
      </c>
      <c r="AZ31" s="52">
        <f>VLOOKUP($B31,'06.02 с мобил'!$B$6:$AK$50,31,0)</f>
        <v>14</v>
      </c>
      <c r="BA31" s="51">
        <f aca="true" t="shared" si="71" ref="BA31:BA49">_xlfn.IFERROR(AZ31/AY31*100,0)</f>
        <v>100</v>
      </c>
      <c r="BB31" s="52">
        <f>VLOOKUP($B31,'06.02 с мобил'!$B$6:$AK$50,33,0)-VLOOKUP($B31,'ФОТ по мобил.'!$B$6:$Q$49,14,0)</f>
        <v>44427.7</v>
      </c>
      <c r="BC31" s="52">
        <f>VLOOKUP($B31,'06.02 с мобил'!$B$6:$AK$50,34,0)/VLOOKUP($B31,'06.02 с мобил'!$B$6:$AK$50,33,0)*BB31</f>
        <v>13328.31</v>
      </c>
      <c r="BD31" s="47">
        <f aca="true" t="shared" si="72" ref="BD31:BD50">SUM(BB31:BC31)</f>
        <v>57756.009999999995</v>
      </c>
      <c r="BE31" s="149">
        <f>VLOOKUP($B31,'06.02 с мобил'!$B$6:$AK$50,36,0)</f>
        <v>0</v>
      </c>
      <c r="BF31" s="147">
        <f aca="true" t="shared" si="73" ref="BF31:BF50">(BE31-BD31)*-1</f>
        <v>57756.009999999995</v>
      </c>
    </row>
    <row r="32" spans="1:58" s="3" customFormat="1" ht="18.75" hidden="1" outlineLevel="1">
      <c r="A32" s="162">
        <v>2</v>
      </c>
      <c r="B32" s="36" t="s">
        <v>91</v>
      </c>
      <c r="C32" s="45">
        <f t="shared" si="51"/>
        <v>78.9</v>
      </c>
      <c r="D32" s="45">
        <f t="shared" si="52"/>
        <v>34.561</v>
      </c>
      <c r="E32" s="45">
        <f t="shared" si="50"/>
        <v>43.80354879594423</v>
      </c>
      <c r="F32" s="45">
        <f t="shared" si="53"/>
        <v>130289</v>
      </c>
      <c r="G32" s="45">
        <f t="shared" si="54"/>
        <v>39086.7</v>
      </c>
      <c r="H32" s="47">
        <f t="shared" si="48"/>
        <v>169375.7</v>
      </c>
      <c r="I32" s="148">
        <f t="shared" si="49"/>
        <v>0</v>
      </c>
      <c r="J32" s="147">
        <f t="shared" si="55"/>
        <v>169375.7</v>
      </c>
      <c r="K32" s="137">
        <f>VLOOKUP($B32,'06.02 с мобил'!$B$6:$AK$50,9,0)</f>
        <v>0</v>
      </c>
      <c r="L32" s="63">
        <f>VLOOKUP($B32,'06.02 с мобил'!$B$6:$AK$50,10,0)</f>
        <v>0.032</v>
      </c>
      <c r="M32" s="51">
        <f t="shared" si="56"/>
        <v>0</v>
      </c>
      <c r="N32" s="52">
        <f>VLOOKUP($B32,'06.02 с мобил'!$B$6:$AK$50,12,0)-VLOOKUP($B32,'ФОТ по мобил.'!$B$6:$Q$49,5,0)</f>
        <v>17936.5</v>
      </c>
      <c r="O32" s="52">
        <f>VLOOKUP($B32,'06.02 с мобил'!$B$6:$AK$50,13,0)/VLOOKUP($B32,'06.02 с мобил'!$B$6:$AK$50,12,0)*N32</f>
        <v>5380.95</v>
      </c>
      <c r="P32" s="133">
        <f t="shared" si="57"/>
        <v>23317.45</v>
      </c>
      <c r="Q32" s="149">
        <f>VLOOKUP($B32,'06.02 с мобил'!$B$6:$AK$50,15,0)</f>
        <v>0</v>
      </c>
      <c r="R32" s="147">
        <f t="shared" si="58"/>
        <v>23317.45</v>
      </c>
      <c r="S32" s="59">
        <f>VLOOKUP($B32,'06.02 с мобил'!$B$6:$AK$50,16,0)</f>
        <v>0</v>
      </c>
      <c r="T32" s="63">
        <f>VLOOKUP($B32,'06.02 с мобил'!$B$6:$AK$50,17,0)</f>
        <v>0.029</v>
      </c>
      <c r="U32" s="51">
        <f t="shared" si="59"/>
        <v>0</v>
      </c>
      <c r="V32" s="52">
        <f>VLOOKUP($B32,'06.02 с мобил'!$B$6:$AK$50,19,0)-VLOOKUP($B32,'ФОТ по мобил.'!$B$6:$Q$49,8,0)</f>
        <v>17462.5</v>
      </c>
      <c r="W32" s="52">
        <f>VLOOKUP($B32,'06.02 с мобил'!$B$6:$AK$50,20,0)/VLOOKUP($B32,'06.02 с мобил'!$B$6:$AK$50,19,0)*V32</f>
        <v>5238.75</v>
      </c>
      <c r="X32" s="47">
        <f t="shared" si="60"/>
        <v>22701.25</v>
      </c>
      <c r="Y32" s="149">
        <f>VLOOKUP($B32,'06.02 с мобил'!$B$6:$AK$50,22,0)</f>
        <v>0</v>
      </c>
      <c r="Z32" s="147">
        <f t="shared" si="61"/>
        <v>22701.25</v>
      </c>
      <c r="AA32" s="137">
        <f>VLOOKUP($B32,'06.02 с мобил'!$B$6:$AK$50,23,0)</f>
        <v>12.3</v>
      </c>
      <c r="AB32" s="52">
        <f>VLOOKUP($B32,'06.02 с мобил'!$B$6:$AK$50,24,0)</f>
        <v>12.3</v>
      </c>
      <c r="AC32" s="51">
        <f t="shared" si="62"/>
        <v>100</v>
      </c>
      <c r="AD32" s="52">
        <f>VLOOKUP($B32,'06.02 с мобил'!$B$6:$AK$50,26,0)-VLOOKUP($B32,'ФОТ по мобил.'!$B$6:$Q$49,11,0)</f>
        <v>19764</v>
      </c>
      <c r="AE32" s="52">
        <f>VLOOKUP($B32,'06.02 с мобил'!$B$6:$AK$50,27,0)/VLOOKUP($B32,'06.02 с мобил'!$B$6:$AK$50,26,0)*AD32</f>
        <v>5929.2</v>
      </c>
      <c r="AF32" s="47">
        <f t="shared" si="63"/>
        <v>25693.2</v>
      </c>
      <c r="AG32" s="149">
        <f>VLOOKUP($B32,'06.02 с мобил'!$B$6:$AK$50,29,0)</f>
        <v>0</v>
      </c>
      <c r="AH32" s="147">
        <f t="shared" si="64"/>
        <v>25693.2</v>
      </c>
      <c r="AI32" s="59">
        <f>VLOOKUP($B32,'06.02 с мобил'!$B$6:$AK$50,30,0)</f>
        <v>22.2</v>
      </c>
      <c r="AJ32" s="52">
        <f>VLOOKUP($B32,'06.02 с мобил'!$B$6:$AK$50,31,0)</f>
        <v>22.2</v>
      </c>
      <c r="AK32" s="51">
        <f t="shared" si="65"/>
        <v>100</v>
      </c>
      <c r="AL32" s="52">
        <f>VLOOKUP($B32,'06.02 с мобил'!$B$6:$AK$50,33,0)-VLOOKUP($B32,'ФОТ по мобил.'!$B$6:$Q$49,14,0)</f>
        <v>25042</v>
      </c>
      <c r="AM32" s="52">
        <f>VLOOKUP($B32,'06.02 с мобил'!$B$6:$AK$50,34,0)/VLOOKUP($B32,'06.02 с мобил'!$B$6:$AK$50,33,0)*AL32</f>
        <v>7512.599999999999</v>
      </c>
      <c r="AN32" s="47">
        <f t="shared" si="66"/>
        <v>32554.6</v>
      </c>
      <c r="AO32" s="149">
        <f>VLOOKUP($B32,'06.02 с мобил'!$B$6:$AK$50,36,0)</f>
        <v>0</v>
      </c>
      <c r="AP32" s="147">
        <f t="shared" si="67"/>
        <v>32554.6</v>
      </c>
      <c r="AQ32" s="59">
        <f>VLOOKUP($B32,'06.02 с мобил'!$B$6:$AK$50,30,0)</f>
        <v>22.2</v>
      </c>
      <c r="AR32" s="52">
        <f>VLOOKUP($B32,'06.02 с мобил'!$B$6:$AK$50,31,0)</f>
        <v>22.2</v>
      </c>
      <c r="AS32" s="51">
        <f t="shared" si="68"/>
        <v>100</v>
      </c>
      <c r="AT32" s="52">
        <f>VLOOKUP($B32,'06.02 с мобил'!$B$6:$AK$50,33,0)-VLOOKUP($B32,'ФОТ по мобил.'!$B$6:$Q$49,14,0)</f>
        <v>25042</v>
      </c>
      <c r="AU32" s="52">
        <f>VLOOKUP($B32,'06.02 с мобил'!$B$6:$AK$50,34,0)/VLOOKUP($B32,'06.02 с мобил'!$B$6:$AK$50,33,0)*AT32</f>
        <v>7512.599999999999</v>
      </c>
      <c r="AV32" s="47">
        <f t="shared" si="69"/>
        <v>32554.6</v>
      </c>
      <c r="AW32" s="149">
        <f>VLOOKUP($B32,'06.02 с мобил'!$B$6:$AK$50,36,0)</f>
        <v>0</v>
      </c>
      <c r="AX32" s="147">
        <f t="shared" si="70"/>
        <v>32554.6</v>
      </c>
      <c r="AY32" s="59">
        <f>VLOOKUP($B32,'06.02 с мобил'!$B$6:$AK$50,30,0)</f>
        <v>22.2</v>
      </c>
      <c r="AZ32" s="52">
        <f>VLOOKUP($B32,'06.02 с мобил'!$B$6:$AK$50,31,0)</f>
        <v>22.2</v>
      </c>
      <c r="BA32" s="51">
        <f t="shared" si="71"/>
        <v>100</v>
      </c>
      <c r="BB32" s="52">
        <f>VLOOKUP($B32,'06.02 с мобил'!$B$6:$AK$50,33,0)-VLOOKUP($B32,'ФОТ по мобил.'!$B$6:$Q$49,14,0)</f>
        <v>25042</v>
      </c>
      <c r="BC32" s="52">
        <f>VLOOKUP($B32,'06.02 с мобил'!$B$6:$AK$50,34,0)/VLOOKUP($B32,'06.02 с мобил'!$B$6:$AK$50,33,0)*BB32</f>
        <v>7512.599999999999</v>
      </c>
      <c r="BD32" s="47">
        <f t="shared" si="72"/>
        <v>32554.6</v>
      </c>
      <c r="BE32" s="149">
        <f>VLOOKUP($B32,'06.02 с мобил'!$B$6:$AK$50,36,0)</f>
        <v>0</v>
      </c>
      <c r="BF32" s="147">
        <f t="shared" si="73"/>
        <v>32554.6</v>
      </c>
    </row>
    <row r="33" spans="1:58" s="3" customFormat="1" ht="18.75" hidden="1" outlineLevel="1">
      <c r="A33" s="162">
        <v>3</v>
      </c>
      <c r="B33" s="36" t="s">
        <v>92</v>
      </c>
      <c r="C33" s="45">
        <f t="shared" si="51"/>
        <v>14.399999999999999</v>
      </c>
      <c r="D33" s="45">
        <f t="shared" si="52"/>
        <v>10</v>
      </c>
      <c r="E33" s="45">
        <f t="shared" si="50"/>
        <v>69.44444444444446</v>
      </c>
      <c r="F33" s="45">
        <f t="shared" si="53"/>
        <v>90997.3</v>
      </c>
      <c r="G33" s="45">
        <f t="shared" si="54"/>
        <v>27299.190000000002</v>
      </c>
      <c r="H33" s="47">
        <f t="shared" si="48"/>
        <v>118296.49</v>
      </c>
      <c r="I33" s="148">
        <f t="shared" si="49"/>
        <v>0</v>
      </c>
      <c r="J33" s="147">
        <f t="shared" si="55"/>
        <v>118296.49</v>
      </c>
      <c r="K33" s="137">
        <f>VLOOKUP($B33,'06.02 с мобил'!$B$6:$AK$50,9,0)</f>
        <v>2</v>
      </c>
      <c r="L33" s="52">
        <f>VLOOKUP($B33,'06.02 с мобил'!$B$6:$AK$50,10,0)</f>
        <v>2.4</v>
      </c>
      <c r="M33" s="51">
        <f t="shared" si="56"/>
        <v>120</v>
      </c>
      <c r="N33" s="52">
        <f>VLOOKUP($B33,'06.02 с мобил'!$B$6:$AK$50,12,0)-VLOOKUP($B33,'ФОТ по мобил.'!$B$6:$Q$49,5,0)</f>
        <v>13991</v>
      </c>
      <c r="O33" s="52">
        <f>VLOOKUP($B33,'06.02 с мобил'!$B$6:$AK$50,13,0)/VLOOKUP($B33,'06.02 с мобил'!$B$6:$AK$50,12,0)*N33</f>
        <v>4197.3</v>
      </c>
      <c r="P33" s="133">
        <f t="shared" si="57"/>
        <v>18188.3</v>
      </c>
      <c r="Q33" s="149">
        <f>VLOOKUP($B33,'06.02 с мобил'!$B$6:$AK$50,15,0)</f>
        <v>0</v>
      </c>
      <c r="R33" s="147">
        <f t="shared" si="58"/>
        <v>18188.3</v>
      </c>
      <c r="S33" s="59">
        <f>VLOOKUP($B33,'06.02 с мобил'!$B$6:$AK$50,16,0)</f>
        <v>2</v>
      </c>
      <c r="T33" s="52">
        <f>VLOOKUP($B33,'06.02 с мобил'!$B$6:$AK$50,17,0)</f>
        <v>2.4</v>
      </c>
      <c r="U33" s="51">
        <f t="shared" si="59"/>
        <v>120</v>
      </c>
      <c r="V33" s="52">
        <f>VLOOKUP($B33,'06.02 с мобил'!$B$6:$AK$50,19,0)-VLOOKUP($B33,'ФОТ по мобил.'!$B$6:$Q$49,8,0)</f>
        <v>15695.5</v>
      </c>
      <c r="W33" s="52">
        <f>VLOOKUP($B33,'06.02 с мобил'!$B$6:$AK$50,20,0)/VLOOKUP($B33,'06.02 с мобил'!$B$6:$AK$50,19,0)*V33</f>
        <v>4708.65</v>
      </c>
      <c r="X33" s="47">
        <f t="shared" si="60"/>
        <v>20404.15</v>
      </c>
      <c r="Y33" s="149">
        <f>VLOOKUP($B33,'06.02 с мобил'!$B$6:$AK$50,22,0)</f>
        <v>0</v>
      </c>
      <c r="Z33" s="147">
        <f t="shared" si="61"/>
        <v>20404.15</v>
      </c>
      <c r="AA33" s="137">
        <f>VLOOKUP($B33,'06.02 с мобил'!$B$6:$AK$50,23,0)</f>
        <v>2.6</v>
      </c>
      <c r="AB33" s="52">
        <f>VLOOKUP($B33,'06.02 с мобил'!$B$6:$AK$50,24,0)</f>
        <v>2.6</v>
      </c>
      <c r="AC33" s="51">
        <f t="shared" si="62"/>
        <v>100</v>
      </c>
      <c r="AD33" s="52">
        <f>VLOOKUP($B33,'06.02 с мобил'!$B$6:$AK$50,26,0)-VLOOKUP($B33,'ФОТ по мобил.'!$B$6:$Q$49,11,0)</f>
        <v>15620.800000000001</v>
      </c>
      <c r="AE33" s="52">
        <f>VLOOKUP($B33,'06.02 с мобил'!$B$6:$AK$50,27,0)/VLOOKUP($B33,'06.02 с мобил'!$B$6:$AK$50,26,0)*AD33</f>
        <v>4686.24</v>
      </c>
      <c r="AF33" s="47">
        <f t="shared" si="63"/>
        <v>20307.04</v>
      </c>
      <c r="AG33" s="149">
        <f>VLOOKUP($B33,'06.02 с мобил'!$B$6:$AK$50,29,0)</f>
        <v>0</v>
      </c>
      <c r="AH33" s="147">
        <f t="shared" si="64"/>
        <v>20307.04</v>
      </c>
      <c r="AI33" s="59">
        <f>VLOOKUP($B33,'06.02 с мобил'!$B$6:$AK$50,30,0)</f>
        <v>2.6</v>
      </c>
      <c r="AJ33" s="52">
        <f>VLOOKUP($B33,'06.02 с мобил'!$B$6:$AK$50,31,0)</f>
        <v>2.6</v>
      </c>
      <c r="AK33" s="51">
        <f t="shared" si="65"/>
        <v>100</v>
      </c>
      <c r="AL33" s="52">
        <f>VLOOKUP($B33,'06.02 с мобил'!$B$6:$AK$50,33,0)-VLOOKUP($B33,'ФОТ по мобил.'!$B$6:$Q$49,14,0)</f>
        <v>15230</v>
      </c>
      <c r="AM33" s="52">
        <f>VLOOKUP($B33,'06.02 с мобил'!$B$6:$AK$50,34,0)/VLOOKUP($B33,'06.02 с мобил'!$B$6:$AK$50,33,0)*AL33</f>
        <v>4569</v>
      </c>
      <c r="AN33" s="47">
        <f t="shared" si="66"/>
        <v>19799</v>
      </c>
      <c r="AO33" s="149">
        <f>VLOOKUP($B33,'06.02 с мобил'!$B$6:$AK$50,36,0)</f>
        <v>0</v>
      </c>
      <c r="AP33" s="147">
        <f t="shared" si="67"/>
        <v>19799</v>
      </c>
      <c r="AQ33" s="59">
        <f>VLOOKUP($B33,'06.02 с мобил'!$B$6:$AK$50,30,0)</f>
        <v>2.6</v>
      </c>
      <c r="AR33" s="52">
        <f>VLOOKUP($B33,'06.02 с мобил'!$B$6:$AK$50,31,0)</f>
        <v>2.6</v>
      </c>
      <c r="AS33" s="51">
        <f t="shared" si="68"/>
        <v>100</v>
      </c>
      <c r="AT33" s="52">
        <f>VLOOKUP($B33,'06.02 с мобил'!$B$6:$AK$50,33,0)-VLOOKUP($B33,'ФОТ по мобил.'!$B$6:$Q$49,14,0)</f>
        <v>15230</v>
      </c>
      <c r="AU33" s="52">
        <f>VLOOKUP($B33,'06.02 с мобил'!$B$6:$AK$50,34,0)/VLOOKUP($B33,'06.02 с мобил'!$B$6:$AK$50,33,0)*AT33</f>
        <v>4569</v>
      </c>
      <c r="AV33" s="47">
        <f t="shared" si="69"/>
        <v>19799</v>
      </c>
      <c r="AW33" s="149">
        <f>VLOOKUP($B33,'06.02 с мобил'!$B$6:$AK$50,36,0)</f>
        <v>0</v>
      </c>
      <c r="AX33" s="147">
        <f t="shared" si="70"/>
        <v>19799</v>
      </c>
      <c r="AY33" s="59">
        <f>VLOOKUP($B33,'06.02 с мобил'!$B$6:$AK$50,30,0)</f>
        <v>2.6</v>
      </c>
      <c r="AZ33" s="52">
        <f>VLOOKUP($B33,'06.02 с мобил'!$B$6:$AK$50,31,0)</f>
        <v>2.6</v>
      </c>
      <c r="BA33" s="51">
        <f t="shared" si="71"/>
        <v>100</v>
      </c>
      <c r="BB33" s="52">
        <f>VLOOKUP($B33,'06.02 с мобил'!$B$6:$AK$50,33,0)-VLOOKUP($B33,'ФОТ по мобил.'!$B$6:$Q$49,14,0)</f>
        <v>15230</v>
      </c>
      <c r="BC33" s="52">
        <f>VLOOKUP($B33,'06.02 с мобил'!$B$6:$AK$50,34,0)/VLOOKUP($B33,'06.02 с мобил'!$B$6:$AK$50,33,0)*BB33</f>
        <v>4569</v>
      </c>
      <c r="BD33" s="47">
        <f t="shared" si="72"/>
        <v>19799</v>
      </c>
      <c r="BE33" s="149">
        <f>VLOOKUP($B33,'06.02 с мобил'!$B$6:$AK$50,36,0)</f>
        <v>0</v>
      </c>
      <c r="BF33" s="147">
        <f t="shared" si="73"/>
        <v>19799</v>
      </c>
    </row>
    <row r="34" spans="1:58" s="3" customFormat="1" ht="18.75" customHeight="1" hidden="1" outlineLevel="1">
      <c r="A34" s="162">
        <v>4</v>
      </c>
      <c r="B34" s="36" t="s">
        <v>93</v>
      </c>
      <c r="C34" s="45">
        <f t="shared" si="51"/>
        <v>9.699999999999996</v>
      </c>
      <c r="D34" s="45">
        <f t="shared" si="52"/>
        <v>8.999999999999998</v>
      </c>
      <c r="E34" s="45">
        <f t="shared" si="50"/>
        <v>92.7835051546392</v>
      </c>
      <c r="F34" s="45">
        <f t="shared" si="53"/>
        <v>155522.5</v>
      </c>
      <c r="G34" s="45">
        <f t="shared" si="54"/>
        <v>46656.75</v>
      </c>
      <c r="H34" s="47">
        <f t="shared" si="48"/>
        <v>202179.25</v>
      </c>
      <c r="I34" s="148">
        <f t="shared" si="49"/>
        <v>0</v>
      </c>
      <c r="J34" s="147">
        <f t="shared" si="55"/>
        <v>202179.25</v>
      </c>
      <c r="K34" s="137">
        <f>VLOOKUP($B34,'06.02 с мобил'!$B$6:$AK$50,9,0)</f>
        <v>4.8</v>
      </c>
      <c r="L34" s="52">
        <f>VLOOKUP($B34,'06.02 с мобил'!$B$6:$AK$50,10,0)</f>
        <v>4.6</v>
      </c>
      <c r="M34" s="51">
        <f t="shared" si="56"/>
        <v>95.83333333333333</v>
      </c>
      <c r="N34" s="52">
        <f>VLOOKUP($B34,'06.02 с мобил'!$B$6:$AK$50,12,0)-VLOOKUP($B34,'ФОТ по мобил.'!$B$6:$Q$49,5,0)</f>
        <v>29014</v>
      </c>
      <c r="O34" s="52">
        <f>VLOOKUP($B34,'06.02 с мобил'!$B$6:$AK$50,13,0)/VLOOKUP($B34,'06.02 с мобил'!$B$6:$AK$50,12,0)*N34</f>
        <v>8704.199999999999</v>
      </c>
      <c r="P34" s="133">
        <f t="shared" si="57"/>
        <v>37718.2</v>
      </c>
      <c r="Q34" s="149">
        <f>VLOOKUP($B34,'06.02 с мобил'!$B$6:$AK$50,15,0)</f>
        <v>0</v>
      </c>
      <c r="R34" s="147">
        <f t="shared" si="58"/>
        <v>37718.2</v>
      </c>
      <c r="S34" s="59">
        <f>VLOOKUP($B34,'06.02 с мобил'!$B$6:$AK$50,16,0)</f>
        <v>4.1</v>
      </c>
      <c r="T34" s="52">
        <f>VLOOKUP($B34,'06.02 с мобил'!$B$6:$AK$50,17,0)</f>
        <v>4</v>
      </c>
      <c r="U34" s="51">
        <f t="shared" si="59"/>
        <v>97.56097560975611</v>
      </c>
      <c r="V34" s="52">
        <f>VLOOKUP($B34,'06.02 с мобил'!$B$6:$AK$50,19,0)-VLOOKUP($B34,'ФОТ по мобил.'!$B$6:$Q$49,8,0)</f>
        <v>28072</v>
      </c>
      <c r="W34" s="52">
        <f>VLOOKUP($B34,'06.02 с мобил'!$B$6:$AK$50,20,0)/VLOOKUP($B34,'06.02 с мобил'!$B$6:$AK$50,19,0)*V34</f>
        <v>8421.6</v>
      </c>
      <c r="X34" s="47">
        <f t="shared" si="60"/>
        <v>36493.6</v>
      </c>
      <c r="Y34" s="149">
        <f>VLOOKUP($B34,'06.02 с мобил'!$B$6:$AK$50,22,0)</f>
        <v>0</v>
      </c>
      <c r="Z34" s="147">
        <f t="shared" si="61"/>
        <v>36493.6</v>
      </c>
      <c r="AA34" s="137">
        <f>VLOOKUP($B34,'06.02 с мобил'!$B$6:$AK$50,23,0)</f>
        <v>0.2</v>
      </c>
      <c r="AB34" s="52">
        <f>VLOOKUP($B34,'06.02 с мобил'!$B$6:$AK$50,24,0)</f>
        <v>0.2</v>
      </c>
      <c r="AC34" s="51">
        <f t="shared" si="62"/>
        <v>100</v>
      </c>
      <c r="AD34" s="52">
        <f>VLOOKUP($B34,'06.02 с мобил'!$B$6:$AK$50,26,0)-VLOOKUP($B34,'ФОТ по мобил.'!$B$6:$Q$49,11,0)</f>
        <v>26237.899999999998</v>
      </c>
      <c r="AE34" s="52">
        <f>VLOOKUP($B34,'06.02 с мобил'!$B$6:$AK$50,27,0)/VLOOKUP($B34,'06.02 с мобил'!$B$6:$AK$50,26,0)*AD34</f>
        <v>7871.369999999999</v>
      </c>
      <c r="AF34" s="47">
        <f t="shared" si="63"/>
        <v>34109.27</v>
      </c>
      <c r="AG34" s="149">
        <f>VLOOKUP($B34,'06.02 с мобил'!$B$6:$AK$50,29,0)</f>
        <v>0</v>
      </c>
      <c r="AH34" s="147">
        <f t="shared" si="64"/>
        <v>34109.27</v>
      </c>
      <c r="AI34" s="59">
        <f>VLOOKUP($B34,'06.02 с мобил'!$B$6:$AK$50,30,0)</f>
        <v>0.2</v>
      </c>
      <c r="AJ34" s="52">
        <f>VLOOKUP($B34,'06.02 с мобил'!$B$6:$AK$50,31,0)</f>
        <v>0.2</v>
      </c>
      <c r="AK34" s="51">
        <f t="shared" si="65"/>
        <v>100</v>
      </c>
      <c r="AL34" s="52">
        <f>VLOOKUP($B34,'06.02 с мобил'!$B$6:$AK$50,33,0)-VLOOKUP($B34,'ФОТ по мобил.'!$B$6:$Q$49,14,0)</f>
        <v>24066.2</v>
      </c>
      <c r="AM34" s="52">
        <f>VLOOKUP($B34,'06.02 с мобил'!$B$6:$AK$50,34,0)/VLOOKUP($B34,'06.02 с мобил'!$B$6:$AK$50,33,0)*AL34</f>
        <v>7219.86</v>
      </c>
      <c r="AN34" s="47">
        <f t="shared" si="66"/>
        <v>31286.06</v>
      </c>
      <c r="AO34" s="149">
        <f>VLOOKUP($B34,'06.02 с мобил'!$B$6:$AK$50,36,0)</f>
        <v>0</v>
      </c>
      <c r="AP34" s="147">
        <f t="shared" si="67"/>
        <v>31286.06</v>
      </c>
      <c r="AQ34" s="59">
        <f>VLOOKUP($B34,'06.02 с мобил'!$B$6:$AK$50,30,0)</f>
        <v>0.2</v>
      </c>
      <c r="AR34" s="52">
        <f>VLOOKUP($B34,'06.02 с мобил'!$B$6:$AK$50,31,0)</f>
        <v>0.2</v>
      </c>
      <c r="AS34" s="51">
        <f t="shared" si="68"/>
        <v>100</v>
      </c>
      <c r="AT34" s="52">
        <f>VLOOKUP($B34,'06.02 с мобил'!$B$6:$AK$50,33,0)-VLOOKUP($B34,'ФОТ по мобил.'!$B$6:$Q$49,14,0)</f>
        <v>24066.2</v>
      </c>
      <c r="AU34" s="52">
        <f>VLOOKUP($B34,'06.02 с мобил'!$B$6:$AK$50,34,0)/VLOOKUP($B34,'06.02 с мобил'!$B$6:$AK$50,33,0)*AT34</f>
        <v>7219.86</v>
      </c>
      <c r="AV34" s="47">
        <f t="shared" si="69"/>
        <v>31286.06</v>
      </c>
      <c r="AW34" s="149">
        <f>VLOOKUP($B34,'06.02 с мобил'!$B$6:$AK$50,36,0)</f>
        <v>0</v>
      </c>
      <c r="AX34" s="147">
        <f t="shared" si="70"/>
        <v>31286.06</v>
      </c>
      <c r="AY34" s="59">
        <f>VLOOKUP($B34,'06.02 с мобил'!$B$6:$AK$50,30,0)</f>
        <v>0.2</v>
      </c>
      <c r="AZ34" s="52">
        <f>VLOOKUP($B34,'06.02 с мобил'!$B$6:$AK$50,31,0)</f>
        <v>0.2</v>
      </c>
      <c r="BA34" s="51">
        <f t="shared" si="71"/>
        <v>100</v>
      </c>
      <c r="BB34" s="52">
        <f>VLOOKUP($B34,'06.02 с мобил'!$B$6:$AK$50,33,0)-VLOOKUP($B34,'ФОТ по мобил.'!$B$6:$Q$49,14,0)</f>
        <v>24066.2</v>
      </c>
      <c r="BC34" s="52">
        <f>VLOOKUP($B34,'06.02 с мобил'!$B$6:$AK$50,34,0)/VLOOKUP($B34,'06.02 с мобил'!$B$6:$AK$50,33,0)*BB34</f>
        <v>7219.86</v>
      </c>
      <c r="BD34" s="47">
        <f t="shared" si="72"/>
        <v>31286.06</v>
      </c>
      <c r="BE34" s="149">
        <f>VLOOKUP($B34,'06.02 с мобил'!$B$6:$AK$50,36,0)</f>
        <v>0</v>
      </c>
      <c r="BF34" s="147">
        <f t="shared" si="73"/>
        <v>31286.06</v>
      </c>
    </row>
    <row r="35" spans="1:58" s="3" customFormat="1" ht="18.75" hidden="1" outlineLevel="1">
      <c r="A35" s="162">
        <v>5</v>
      </c>
      <c r="B35" s="36" t="s">
        <v>94</v>
      </c>
      <c r="C35" s="45">
        <f t="shared" si="51"/>
        <v>96</v>
      </c>
      <c r="D35" s="45">
        <f t="shared" si="52"/>
        <v>66.6</v>
      </c>
      <c r="E35" s="45">
        <f t="shared" si="50"/>
        <v>69.375</v>
      </c>
      <c r="F35" s="45">
        <f t="shared" si="53"/>
        <v>365383.2</v>
      </c>
      <c r="G35" s="45">
        <f t="shared" si="54"/>
        <v>109614.95999999999</v>
      </c>
      <c r="H35" s="47">
        <f t="shared" si="48"/>
        <v>474998.16000000003</v>
      </c>
      <c r="I35" s="148">
        <f t="shared" si="49"/>
        <v>0</v>
      </c>
      <c r="J35" s="147">
        <f t="shared" si="55"/>
        <v>474998.16000000003</v>
      </c>
      <c r="K35" s="137">
        <f>VLOOKUP($B35,'06.02 с мобил'!$B$6:$AK$50,9,0)</f>
        <v>15.1</v>
      </c>
      <c r="L35" s="52">
        <f>VLOOKUP($B35,'06.02 с мобил'!$B$6:$AK$50,10,0)</f>
        <v>15.4</v>
      </c>
      <c r="M35" s="51">
        <f t="shared" si="56"/>
        <v>101.98675496688743</v>
      </c>
      <c r="N35" s="52">
        <f>VLOOKUP($B35,'06.02 с мобил'!$B$6:$AK$50,12,0)-VLOOKUP($B35,'ФОТ по мобил.'!$B$6:$Q$49,5,0)</f>
        <v>64299.1</v>
      </c>
      <c r="O35" s="52">
        <f>VLOOKUP($B35,'06.02 с мобил'!$B$6:$AK$50,13,0)/VLOOKUP($B35,'06.02 с мобил'!$B$6:$AK$50,12,0)*N35</f>
        <v>19289.73</v>
      </c>
      <c r="P35" s="133">
        <f t="shared" si="57"/>
        <v>83588.83</v>
      </c>
      <c r="Q35" s="149">
        <f>VLOOKUP($B35,'06.02 с мобил'!$B$6:$AK$50,15,0)</f>
        <v>0</v>
      </c>
      <c r="R35" s="147">
        <f t="shared" si="58"/>
        <v>83588.83</v>
      </c>
      <c r="S35" s="59">
        <f>VLOOKUP($B35,'06.02 с мобил'!$B$6:$AK$50,16,0)</f>
        <v>15.2</v>
      </c>
      <c r="T35" s="52">
        <f>VLOOKUP($B35,'06.02 с мобил'!$B$6:$AK$50,17,0)</f>
        <v>18.3</v>
      </c>
      <c r="U35" s="51">
        <f t="shared" si="59"/>
        <v>120.39473684210526</v>
      </c>
      <c r="V35" s="52">
        <f>VLOOKUP($B35,'06.02 с мобил'!$B$6:$AK$50,19,0)-VLOOKUP($B35,'ФОТ по мобил.'!$B$6:$Q$49,8,0)</f>
        <v>59293</v>
      </c>
      <c r="W35" s="52">
        <f>VLOOKUP($B35,'06.02 с мобил'!$B$6:$AK$50,20,0)/VLOOKUP($B35,'06.02 с мобил'!$B$6:$AK$50,19,0)*V35</f>
        <v>17787.899999999998</v>
      </c>
      <c r="X35" s="47">
        <f t="shared" si="60"/>
        <v>77080.9</v>
      </c>
      <c r="Y35" s="149">
        <f>VLOOKUP($B35,'06.02 с мобил'!$B$6:$AK$50,22,0)</f>
        <v>0</v>
      </c>
      <c r="Z35" s="147">
        <f t="shared" si="61"/>
        <v>77080.9</v>
      </c>
      <c r="AA35" s="137">
        <f>VLOOKUP($B35,'06.02 с мобил'!$B$6:$AK$50,23,0)</f>
        <v>16.5</v>
      </c>
      <c r="AB35" s="52">
        <f>VLOOKUP($B35,'06.02 с мобил'!$B$6:$AK$50,24,0)</f>
        <v>16.5</v>
      </c>
      <c r="AC35" s="51">
        <f t="shared" si="62"/>
        <v>100</v>
      </c>
      <c r="AD35" s="52">
        <f>VLOOKUP($B35,'06.02 с мобил'!$B$6:$AK$50,26,0)-VLOOKUP($B35,'ФОТ по мобил.'!$B$6:$Q$49,11,0)</f>
        <v>63696.399999999994</v>
      </c>
      <c r="AE35" s="52">
        <f>VLOOKUP($B35,'06.02 с мобил'!$B$6:$AK$50,27,0)/VLOOKUP($B35,'06.02 с мобил'!$B$6:$AK$50,26,0)*AD35</f>
        <v>19108.92</v>
      </c>
      <c r="AF35" s="47">
        <f t="shared" si="63"/>
        <v>82805.31999999999</v>
      </c>
      <c r="AG35" s="149">
        <f>VLOOKUP($B35,'06.02 с мобил'!$B$6:$AK$50,29,0)</f>
        <v>0</v>
      </c>
      <c r="AH35" s="147">
        <f t="shared" si="64"/>
        <v>82805.31999999999</v>
      </c>
      <c r="AI35" s="59">
        <f>VLOOKUP($B35,'06.02 с мобил'!$B$6:$AK$50,30,0)</f>
        <v>16.4</v>
      </c>
      <c r="AJ35" s="52">
        <f>VLOOKUP($B35,'06.02 с мобил'!$B$6:$AK$50,31,0)</f>
        <v>16.4</v>
      </c>
      <c r="AK35" s="51">
        <f t="shared" si="65"/>
        <v>100</v>
      </c>
      <c r="AL35" s="52">
        <f>VLOOKUP($B35,'06.02 с мобил'!$B$6:$AK$50,33,0)-VLOOKUP($B35,'ФОТ по мобил.'!$B$6:$Q$49,14,0)</f>
        <v>59364.9</v>
      </c>
      <c r="AM35" s="52">
        <f>VLOOKUP($B35,'06.02 с мобил'!$B$6:$AK$50,34,0)/VLOOKUP($B35,'06.02 с мобил'!$B$6:$AK$50,33,0)*AL35</f>
        <v>17809.47</v>
      </c>
      <c r="AN35" s="47">
        <f t="shared" si="66"/>
        <v>77174.37</v>
      </c>
      <c r="AO35" s="149">
        <f>VLOOKUP($B35,'06.02 с мобил'!$B$6:$AK$50,36,0)</f>
        <v>0</v>
      </c>
      <c r="AP35" s="147">
        <f t="shared" si="67"/>
        <v>77174.37</v>
      </c>
      <c r="AQ35" s="59">
        <f>VLOOKUP($B35,'06.02 с мобил'!$B$6:$AK$50,30,0)</f>
        <v>16.4</v>
      </c>
      <c r="AR35" s="52">
        <f>VLOOKUP($B35,'06.02 с мобил'!$B$6:$AK$50,31,0)</f>
        <v>16.4</v>
      </c>
      <c r="AS35" s="51">
        <f t="shared" si="68"/>
        <v>100</v>
      </c>
      <c r="AT35" s="52">
        <f>VLOOKUP($B35,'06.02 с мобил'!$B$6:$AK$50,33,0)-VLOOKUP($B35,'ФОТ по мобил.'!$B$6:$Q$49,14,0)</f>
        <v>59364.9</v>
      </c>
      <c r="AU35" s="52">
        <f>VLOOKUP($B35,'06.02 с мобил'!$B$6:$AK$50,34,0)/VLOOKUP($B35,'06.02 с мобил'!$B$6:$AK$50,33,0)*AT35</f>
        <v>17809.47</v>
      </c>
      <c r="AV35" s="47">
        <f t="shared" si="69"/>
        <v>77174.37</v>
      </c>
      <c r="AW35" s="149">
        <f>VLOOKUP($B35,'06.02 с мобил'!$B$6:$AK$50,36,0)</f>
        <v>0</v>
      </c>
      <c r="AX35" s="147">
        <f t="shared" si="70"/>
        <v>77174.37</v>
      </c>
      <c r="AY35" s="59">
        <f>VLOOKUP($B35,'06.02 с мобил'!$B$6:$AK$50,30,0)</f>
        <v>16.4</v>
      </c>
      <c r="AZ35" s="52">
        <f>VLOOKUP($B35,'06.02 с мобил'!$B$6:$AK$50,31,0)</f>
        <v>16.4</v>
      </c>
      <c r="BA35" s="51">
        <f t="shared" si="71"/>
        <v>100</v>
      </c>
      <c r="BB35" s="52">
        <f>VLOOKUP($B35,'06.02 с мобил'!$B$6:$AK$50,33,0)-VLOOKUP($B35,'ФОТ по мобил.'!$B$6:$Q$49,14,0)</f>
        <v>59364.9</v>
      </c>
      <c r="BC35" s="52">
        <f>VLOOKUP($B35,'06.02 с мобил'!$B$6:$AK$50,34,0)/VLOOKUP($B35,'06.02 с мобил'!$B$6:$AK$50,33,0)*BB35</f>
        <v>17809.47</v>
      </c>
      <c r="BD35" s="47">
        <f t="shared" si="72"/>
        <v>77174.37</v>
      </c>
      <c r="BE35" s="149">
        <f>VLOOKUP($B35,'06.02 с мобил'!$B$6:$AK$50,36,0)</f>
        <v>0</v>
      </c>
      <c r="BF35" s="147">
        <f t="shared" si="73"/>
        <v>77174.37</v>
      </c>
    </row>
    <row r="36" spans="1:58" s="3" customFormat="1" ht="18.75" hidden="1" outlineLevel="1">
      <c r="A36" s="162">
        <v>6</v>
      </c>
      <c r="B36" s="36" t="s">
        <v>95</v>
      </c>
      <c r="C36" s="45">
        <f t="shared" si="51"/>
        <v>0</v>
      </c>
      <c r="D36" s="45">
        <f t="shared" si="52"/>
        <v>0</v>
      </c>
      <c r="E36" s="45"/>
      <c r="F36" s="45">
        <f t="shared" si="53"/>
        <v>46594.8</v>
      </c>
      <c r="G36" s="45">
        <f t="shared" si="54"/>
        <v>13978.439999999999</v>
      </c>
      <c r="H36" s="47">
        <f t="shared" si="48"/>
        <v>60573.240000000005</v>
      </c>
      <c r="I36" s="148">
        <f t="shared" si="49"/>
        <v>0</v>
      </c>
      <c r="J36" s="147">
        <f t="shared" si="55"/>
        <v>60573.240000000005</v>
      </c>
      <c r="K36" s="139">
        <f>VLOOKUP($B36,'06.02 с мобил'!$B$6:$AK$50,9,0)</f>
        <v>0</v>
      </c>
      <c r="L36" s="45">
        <f>VLOOKUP($B36,'06.02 с мобил'!$B$6:$AK$50,10,0)</f>
        <v>0</v>
      </c>
      <c r="M36" s="51">
        <f t="shared" si="56"/>
        <v>0</v>
      </c>
      <c r="N36" s="52">
        <f>VLOOKUP($B36,'06.02 с мобил'!$B$6:$AK$50,12,0)-VLOOKUP($B36,'ФОТ по мобил.'!$B$6:$Q$49,5,0)</f>
        <v>7138.5</v>
      </c>
      <c r="O36" s="52">
        <f>VLOOKUP($B36,'06.02 с мобил'!$B$6:$AK$50,13,0)/VLOOKUP($B36,'06.02 с мобил'!$B$6:$AK$50,12,0)*N36</f>
        <v>2141.5499999999997</v>
      </c>
      <c r="P36" s="133">
        <f t="shared" si="57"/>
        <v>9280.05</v>
      </c>
      <c r="Q36" s="149">
        <f>VLOOKUP($B36,'06.02 с мобил'!$B$6:$AK$50,15,0)</f>
        <v>0</v>
      </c>
      <c r="R36" s="147">
        <f t="shared" si="58"/>
        <v>9280.05</v>
      </c>
      <c r="S36" s="161">
        <f>VLOOKUP($B36,'06.02 с мобил'!$B$6:$AK$50,16,0)</f>
        <v>0</v>
      </c>
      <c r="T36" s="45">
        <f>VLOOKUP($B36,'06.02 с мобил'!$B$6:$AK$50,17,0)</f>
        <v>0</v>
      </c>
      <c r="U36" s="51">
        <f t="shared" si="59"/>
        <v>0</v>
      </c>
      <c r="V36" s="52">
        <f>VLOOKUP($B36,'06.02 с мобил'!$B$6:$AK$50,19,0)-VLOOKUP($B36,'ФОТ по мобил.'!$B$6:$Q$49,8,0)</f>
        <v>7069.3</v>
      </c>
      <c r="W36" s="52">
        <f>VLOOKUP($B36,'06.02 с мобил'!$B$6:$AK$50,20,0)/VLOOKUP($B36,'06.02 с мобил'!$B$6:$AK$50,19,0)*V36</f>
        <v>2120.79</v>
      </c>
      <c r="X36" s="47">
        <f t="shared" si="60"/>
        <v>9190.09</v>
      </c>
      <c r="Y36" s="149">
        <f>VLOOKUP($B36,'06.02 с мобил'!$B$6:$AK$50,22,0)</f>
        <v>0</v>
      </c>
      <c r="Z36" s="147">
        <f t="shared" si="61"/>
        <v>9190.09</v>
      </c>
      <c r="AA36" s="139">
        <f>VLOOKUP($B36,'06.02 с мобил'!$B$6:$AK$50,23,0)</f>
        <v>0</v>
      </c>
      <c r="AB36" s="45">
        <f>VLOOKUP($B36,'06.02 с мобил'!$B$6:$AK$50,24,0)</f>
        <v>0</v>
      </c>
      <c r="AC36" s="51">
        <f t="shared" si="62"/>
        <v>0</v>
      </c>
      <c r="AD36" s="52">
        <f>VLOOKUP($B36,'06.02 с мобил'!$B$6:$AK$50,26,0)-VLOOKUP($B36,'ФОТ по мобил.'!$B$6:$Q$49,11,0)</f>
        <v>8122.099999999999</v>
      </c>
      <c r="AE36" s="52">
        <f>VLOOKUP($B36,'06.02 с мобил'!$B$6:$AK$50,27,0)/VLOOKUP($B36,'06.02 с мобил'!$B$6:$AK$50,26,0)*AD36</f>
        <v>2436.6299999999997</v>
      </c>
      <c r="AF36" s="47">
        <f t="shared" si="63"/>
        <v>10558.73</v>
      </c>
      <c r="AG36" s="149">
        <f>VLOOKUP($B36,'06.02 с мобил'!$B$6:$AK$50,29,0)</f>
        <v>0</v>
      </c>
      <c r="AH36" s="147">
        <f t="shared" si="64"/>
        <v>10558.73</v>
      </c>
      <c r="AI36" s="59">
        <f>VLOOKUP($B36,'06.02 с мобил'!$B$6:$AK$50,30,0)</f>
        <v>0</v>
      </c>
      <c r="AJ36" s="52">
        <f>VLOOKUP($B36,'06.02 с мобил'!$B$6:$AK$50,31,0)</f>
        <v>0</v>
      </c>
      <c r="AK36" s="51">
        <f t="shared" si="65"/>
        <v>0</v>
      </c>
      <c r="AL36" s="52">
        <f>VLOOKUP($B36,'06.02 с мобил'!$B$6:$AK$50,33,0)-VLOOKUP($B36,'ФОТ по мобил.'!$B$6:$Q$49,14,0)</f>
        <v>8088.3</v>
      </c>
      <c r="AM36" s="52">
        <f>VLOOKUP($B36,'06.02 с мобил'!$B$6:$AK$50,34,0)/VLOOKUP($B36,'06.02 с мобил'!$B$6:$AK$50,33,0)*AL36</f>
        <v>2426.49</v>
      </c>
      <c r="AN36" s="47">
        <f t="shared" si="66"/>
        <v>10514.79</v>
      </c>
      <c r="AO36" s="149">
        <f>VLOOKUP($B36,'06.02 с мобил'!$B$6:$AK$50,36,0)</f>
        <v>0</v>
      </c>
      <c r="AP36" s="147">
        <f t="shared" si="67"/>
        <v>10514.79</v>
      </c>
      <c r="AQ36" s="59">
        <f>VLOOKUP($B36,'06.02 с мобил'!$B$6:$AK$50,30,0)</f>
        <v>0</v>
      </c>
      <c r="AR36" s="52">
        <f>VLOOKUP($B36,'06.02 с мобил'!$B$6:$AK$50,31,0)</f>
        <v>0</v>
      </c>
      <c r="AS36" s="51">
        <f t="shared" si="68"/>
        <v>0</v>
      </c>
      <c r="AT36" s="52">
        <f>VLOOKUP($B36,'06.02 с мобил'!$B$6:$AK$50,33,0)-VLOOKUP($B36,'ФОТ по мобил.'!$B$6:$Q$49,14,0)</f>
        <v>8088.3</v>
      </c>
      <c r="AU36" s="52">
        <f>VLOOKUP($B36,'06.02 с мобил'!$B$6:$AK$50,34,0)/VLOOKUP($B36,'06.02 с мобил'!$B$6:$AK$50,33,0)*AT36</f>
        <v>2426.49</v>
      </c>
      <c r="AV36" s="47">
        <f t="shared" si="69"/>
        <v>10514.79</v>
      </c>
      <c r="AW36" s="149">
        <f>VLOOKUP($B36,'06.02 с мобил'!$B$6:$AK$50,36,0)</f>
        <v>0</v>
      </c>
      <c r="AX36" s="147">
        <f t="shared" si="70"/>
        <v>10514.79</v>
      </c>
      <c r="AY36" s="59">
        <f>VLOOKUP($B36,'06.02 с мобил'!$B$6:$AK$50,30,0)</f>
        <v>0</v>
      </c>
      <c r="AZ36" s="52">
        <f>VLOOKUP($B36,'06.02 с мобил'!$B$6:$AK$50,31,0)</f>
        <v>0</v>
      </c>
      <c r="BA36" s="51">
        <f t="shared" si="71"/>
        <v>0</v>
      </c>
      <c r="BB36" s="52">
        <f>VLOOKUP($B36,'06.02 с мобил'!$B$6:$AK$50,33,0)-VLOOKUP($B36,'ФОТ по мобил.'!$B$6:$Q$49,14,0)</f>
        <v>8088.3</v>
      </c>
      <c r="BC36" s="52">
        <f>VLOOKUP($B36,'06.02 с мобил'!$B$6:$AK$50,34,0)/VLOOKUP($B36,'06.02 с мобил'!$B$6:$AK$50,33,0)*BB36</f>
        <v>2426.49</v>
      </c>
      <c r="BD36" s="47">
        <f t="shared" si="72"/>
        <v>10514.79</v>
      </c>
      <c r="BE36" s="149">
        <f>VLOOKUP($B36,'06.02 с мобил'!$B$6:$AK$50,36,0)</f>
        <v>0</v>
      </c>
      <c r="BF36" s="147">
        <f t="shared" si="73"/>
        <v>10514.79</v>
      </c>
    </row>
    <row r="37" spans="1:58" s="82" customFormat="1" ht="18.75" hidden="1" outlineLevel="1">
      <c r="A37" s="162">
        <v>7</v>
      </c>
      <c r="B37" s="36" t="s">
        <v>96</v>
      </c>
      <c r="C37" s="134">
        <f t="shared" si="51"/>
        <v>0</v>
      </c>
      <c r="D37" s="134">
        <f t="shared" si="52"/>
        <v>0</v>
      </c>
      <c r="E37" s="134"/>
      <c r="F37" s="134">
        <f t="shared" si="53"/>
        <v>22895.899999999998</v>
      </c>
      <c r="G37" s="134">
        <f t="shared" si="54"/>
        <v>6868.77</v>
      </c>
      <c r="H37" s="136">
        <f t="shared" si="48"/>
        <v>29764.67</v>
      </c>
      <c r="I37" s="150">
        <f t="shared" si="49"/>
        <v>0</v>
      </c>
      <c r="J37" s="152">
        <f t="shared" si="55"/>
        <v>29764.67</v>
      </c>
      <c r="K37" s="140">
        <f>VLOOKUP($B37,'06.02 с мобил'!$B$6:$AK$50,9,0)</f>
        <v>0</v>
      </c>
      <c r="L37" s="134">
        <f>VLOOKUP($B37,'06.02 с мобил'!$B$6:$AK$50,10,0)</f>
        <v>0</v>
      </c>
      <c r="M37" s="134">
        <f t="shared" si="56"/>
        <v>0</v>
      </c>
      <c r="N37" s="30">
        <f>VLOOKUP($B37,'06.02 с мобил'!$B$6:$AK$50,12,0)-VLOOKUP($B37,'ФОТ по мобил.'!$B$6:$Q$49,5,0)</f>
        <v>4225</v>
      </c>
      <c r="O37" s="30">
        <f>VLOOKUP($B37,'06.02 с мобил'!$B$6:$AK$50,13,0)/VLOOKUP($B37,'06.02 с мобил'!$B$6:$AK$50,12,0)*N37</f>
        <v>1267.5</v>
      </c>
      <c r="P37" s="135">
        <f t="shared" si="57"/>
        <v>5492.5</v>
      </c>
      <c r="Q37" s="151">
        <f>VLOOKUP($B37,'06.02 с мобил'!$B$6:$AK$50,15,0)</f>
        <v>0</v>
      </c>
      <c r="R37" s="152">
        <f t="shared" si="58"/>
        <v>5492.5</v>
      </c>
      <c r="S37" s="165">
        <f>VLOOKUP($B37,'06.02 с мобил'!$B$6:$AK$50,16,0)</f>
        <v>0</v>
      </c>
      <c r="T37" s="134">
        <f>VLOOKUP($B37,'06.02 с мобил'!$B$6:$AK$50,17,0)</f>
        <v>0</v>
      </c>
      <c r="U37" s="134">
        <f t="shared" si="59"/>
        <v>0</v>
      </c>
      <c r="V37" s="30">
        <f>VLOOKUP($B37,'06.02 с мобил'!$B$6:$AK$50,19,0)-VLOOKUP($B37,'ФОТ по мобил.'!$B$6:$Q$49,8,0)</f>
        <v>3868.8</v>
      </c>
      <c r="W37" s="30">
        <f>VLOOKUP($B37,'06.02 с мобил'!$B$6:$AK$50,20,0)/VLOOKUP($B37,'06.02 с мобил'!$B$6:$AK$50,19,0)*V37</f>
        <v>1160.64</v>
      </c>
      <c r="X37" s="136">
        <f t="shared" si="60"/>
        <v>5029.4400000000005</v>
      </c>
      <c r="Y37" s="151">
        <f>VLOOKUP($B37,'06.02 с мобил'!$B$6:$AK$50,22,0)</f>
        <v>0</v>
      </c>
      <c r="Z37" s="152">
        <f t="shared" si="61"/>
        <v>5029.4400000000005</v>
      </c>
      <c r="AA37" s="140">
        <f>VLOOKUP($B37,'06.02 с мобил'!$B$6:$AK$50,23,0)</f>
        <v>0</v>
      </c>
      <c r="AB37" s="134">
        <f>VLOOKUP($B37,'06.02 с мобил'!$B$6:$AK$50,24,0)</f>
        <v>0</v>
      </c>
      <c r="AC37" s="134">
        <f t="shared" si="62"/>
        <v>0</v>
      </c>
      <c r="AD37" s="30">
        <f>VLOOKUP($B37,'06.02 с мобил'!$B$6:$AK$50,26,0)-VLOOKUP($B37,'ФОТ по мобил.'!$B$6:$Q$49,11,0)</f>
        <v>3815.2</v>
      </c>
      <c r="AE37" s="30">
        <f>VLOOKUP($B37,'06.02 с мобил'!$B$6:$AK$50,27,0)/VLOOKUP($B37,'06.02 с мобил'!$B$6:$AK$50,26,0)*AD37</f>
        <v>1144.56</v>
      </c>
      <c r="AF37" s="136">
        <f t="shared" si="63"/>
        <v>4959.76</v>
      </c>
      <c r="AG37" s="151">
        <f>VLOOKUP($B37,'06.02 с мобил'!$B$6:$AK$50,29,0)</f>
        <v>0</v>
      </c>
      <c r="AH37" s="152">
        <f t="shared" si="64"/>
        <v>4959.76</v>
      </c>
      <c r="AI37" s="157">
        <f>VLOOKUP($B37,'06.02 с мобил'!$B$6:$AK$50,30,0)</f>
        <v>0</v>
      </c>
      <c r="AJ37" s="30">
        <f>VLOOKUP($B37,'06.02 с мобил'!$B$6:$AK$50,31,0)</f>
        <v>0</v>
      </c>
      <c r="AK37" s="134">
        <f t="shared" si="65"/>
        <v>0</v>
      </c>
      <c r="AL37" s="30">
        <f>VLOOKUP($B37,'06.02 с мобил'!$B$6:$AK$50,33,0)-VLOOKUP($B37,'ФОТ по мобил.'!$B$6:$Q$49,14,0)</f>
        <v>3662.3</v>
      </c>
      <c r="AM37" s="30">
        <f>VLOOKUP($B37,'06.02 с мобил'!$B$6:$AK$50,34,0)/VLOOKUP($B37,'06.02 с мобил'!$B$6:$AK$50,33,0)*AL37</f>
        <v>1098.69</v>
      </c>
      <c r="AN37" s="136">
        <f t="shared" si="66"/>
        <v>4760.99</v>
      </c>
      <c r="AO37" s="151">
        <f>VLOOKUP($B37,'06.02 с мобил'!$B$6:$AK$50,36,0)</f>
        <v>0</v>
      </c>
      <c r="AP37" s="152">
        <f t="shared" si="67"/>
        <v>4760.99</v>
      </c>
      <c r="AQ37" s="157">
        <f>VLOOKUP($B37,'06.02 с мобил'!$B$6:$AK$50,30,0)</f>
        <v>0</v>
      </c>
      <c r="AR37" s="30">
        <f>VLOOKUP($B37,'06.02 с мобил'!$B$6:$AK$50,31,0)</f>
        <v>0</v>
      </c>
      <c r="AS37" s="134">
        <f t="shared" si="68"/>
        <v>0</v>
      </c>
      <c r="AT37" s="30">
        <f>VLOOKUP($B37,'06.02 с мобил'!$B$6:$AK$50,33,0)-VLOOKUP($B37,'ФОТ по мобил.'!$B$6:$Q$49,14,0)</f>
        <v>3662.3</v>
      </c>
      <c r="AU37" s="30">
        <f>VLOOKUP($B37,'06.02 с мобил'!$B$6:$AK$50,34,0)/VLOOKUP($B37,'06.02 с мобил'!$B$6:$AK$50,33,0)*AT37</f>
        <v>1098.69</v>
      </c>
      <c r="AV37" s="136">
        <f t="shared" si="69"/>
        <v>4760.99</v>
      </c>
      <c r="AW37" s="151">
        <f>VLOOKUP($B37,'06.02 с мобил'!$B$6:$AK$50,36,0)</f>
        <v>0</v>
      </c>
      <c r="AX37" s="152">
        <f t="shared" si="70"/>
        <v>4760.99</v>
      </c>
      <c r="AY37" s="157">
        <f>VLOOKUP($B37,'06.02 с мобил'!$B$6:$AK$50,30,0)</f>
        <v>0</v>
      </c>
      <c r="AZ37" s="30">
        <f>VLOOKUP($B37,'06.02 с мобил'!$B$6:$AK$50,31,0)</f>
        <v>0</v>
      </c>
      <c r="BA37" s="134">
        <f t="shared" si="71"/>
        <v>0</v>
      </c>
      <c r="BB37" s="30">
        <f>VLOOKUP($B37,'06.02 с мобил'!$B$6:$AK$50,33,0)-VLOOKUP($B37,'ФОТ по мобил.'!$B$6:$Q$49,14,0)</f>
        <v>3662.3</v>
      </c>
      <c r="BC37" s="30">
        <f>VLOOKUP($B37,'06.02 с мобил'!$B$6:$AK$50,34,0)/VLOOKUP($B37,'06.02 с мобил'!$B$6:$AK$50,33,0)*BB37</f>
        <v>1098.69</v>
      </c>
      <c r="BD37" s="136">
        <f t="shared" si="72"/>
        <v>4760.99</v>
      </c>
      <c r="BE37" s="151">
        <f>VLOOKUP($B37,'06.02 с мобил'!$B$6:$AK$50,36,0)</f>
        <v>0</v>
      </c>
      <c r="BF37" s="152">
        <f t="shared" si="73"/>
        <v>4760.99</v>
      </c>
    </row>
    <row r="38" spans="1:58" s="3" customFormat="1" ht="18.75" hidden="1" outlineLevel="1">
      <c r="A38" s="162">
        <v>8</v>
      </c>
      <c r="B38" s="36" t="s">
        <v>120</v>
      </c>
      <c r="C38" s="45">
        <f t="shared" si="51"/>
        <v>0</v>
      </c>
      <c r="D38" s="45">
        <f t="shared" si="52"/>
        <v>0</v>
      </c>
      <c r="E38" s="45"/>
      <c r="F38" s="45">
        <f t="shared" si="53"/>
        <v>54086.899999999994</v>
      </c>
      <c r="G38" s="45">
        <f t="shared" si="54"/>
        <v>16226.069999999998</v>
      </c>
      <c r="H38" s="47">
        <f t="shared" si="48"/>
        <v>70312.96999999999</v>
      </c>
      <c r="I38" s="148">
        <f t="shared" si="49"/>
        <v>0</v>
      </c>
      <c r="J38" s="147">
        <f t="shared" si="55"/>
        <v>70312.96999999999</v>
      </c>
      <c r="K38" s="139">
        <f>VLOOKUP($B38,'06.02 с мобил'!$B$6:$AK$50,9,0)</f>
        <v>0</v>
      </c>
      <c r="L38" s="45">
        <f>VLOOKUP($B38,'06.02 с мобил'!$B$6:$AK$50,10,0)</f>
        <v>0</v>
      </c>
      <c r="M38" s="51">
        <f t="shared" si="56"/>
        <v>0</v>
      </c>
      <c r="N38" s="52">
        <f>VLOOKUP($B38,'06.02 с мобил'!$B$6:$AK$50,12,0)-VLOOKUP($B38,'ФОТ по мобил.'!$B$6:$Q$49,5,0)</f>
        <v>9092.9</v>
      </c>
      <c r="O38" s="52">
        <f>VLOOKUP($B38,'06.02 с мобил'!$B$6:$AK$50,13,0)/VLOOKUP($B38,'06.02 с мобил'!$B$6:$AK$50,12,0)*N38</f>
        <v>2727.87</v>
      </c>
      <c r="P38" s="133">
        <f t="shared" si="57"/>
        <v>11820.77</v>
      </c>
      <c r="Q38" s="149">
        <f>VLOOKUP($B38,'06.02 с мобил'!$B$6:$AK$50,15,0)</f>
        <v>0</v>
      </c>
      <c r="R38" s="147">
        <f t="shared" si="58"/>
        <v>11820.77</v>
      </c>
      <c r="S38" s="161">
        <f>VLOOKUP($B38,'06.02 с мобил'!$B$6:$AK$50,16,0)</f>
        <v>0</v>
      </c>
      <c r="T38" s="45">
        <f>VLOOKUP($B38,'06.02 с мобил'!$B$6:$AK$50,17,0)</f>
        <v>0</v>
      </c>
      <c r="U38" s="51">
        <f t="shared" si="59"/>
        <v>0</v>
      </c>
      <c r="V38" s="52">
        <f>VLOOKUP($B38,'06.02 с мобил'!$B$6:$AK$50,19,0)-VLOOKUP($B38,'ФОТ по мобил.'!$B$6:$Q$49,8,0)</f>
        <v>9246.4</v>
      </c>
      <c r="W38" s="52">
        <f>VLOOKUP($B38,'06.02 с мобил'!$B$6:$AK$50,20,0)/VLOOKUP($B38,'06.02 с мобил'!$B$6:$AK$50,19,0)*V38</f>
        <v>2773.9199999999996</v>
      </c>
      <c r="X38" s="47">
        <f t="shared" si="60"/>
        <v>12020.32</v>
      </c>
      <c r="Y38" s="149">
        <f>VLOOKUP($B38,'06.02 с мобил'!$B$6:$AK$50,22,0)</f>
        <v>0</v>
      </c>
      <c r="Z38" s="147">
        <f t="shared" si="61"/>
        <v>12020.32</v>
      </c>
      <c r="AA38" s="139">
        <f>VLOOKUP($B38,'06.02 с мобил'!$B$6:$AK$50,23,0)</f>
        <v>0</v>
      </c>
      <c r="AB38" s="45">
        <f>VLOOKUP($B38,'06.02 с мобил'!$B$6:$AK$50,24,0)</f>
        <v>0</v>
      </c>
      <c r="AC38" s="51">
        <f t="shared" si="62"/>
        <v>0</v>
      </c>
      <c r="AD38" s="52">
        <f>VLOOKUP($B38,'06.02 с мобил'!$B$6:$AK$50,26,0)-VLOOKUP($B38,'ФОТ по мобил.'!$B$6:$Q$49,11,0)</f>
        <v>9363.5</v>
      </c>
      <c r="AE38" s="52">
        <f>VLOOKUP($B38,'06.02 с мобил'!$B$6:$AK$50,27,0)/VLOOKUP($B38,'06.02 с мобил'!$B$6:$AK$50,26,0)*AD38</f>
        <v>2809.0499999999997</v>
      </c>
      <c r="AF38" s="47">
        <f t="shared" si="63"/>
        <v>12172.55</v>
      </c>
      <c r="AG38" s="149">
        <f>VLOOKUP($B38,'06.02 с мобил'!$B$6:$AK$50,29,0)</f>
        <v>0</v>
      </c>
      <c r="AH38" s="147">
        <f t="shared" si="64"/>
        <v>12172.55</v>
      </c>
      <c r="AI38" s="59">
        <f>VLOOKUP($B38,'06.02 с мобил'!$B$6:$AK$50,30,0)</f>
        <v>0</v>
      </c>
      <c r="AJ38" s="52">
        <f>VLOOKUP($B38,'06.02 с мобил'!$B$6:$AK$50,31,0)</f>
        <v>0</v>
      </c>
      <c r="AK38" s="51">
        <f t="shared" si="65"/>
        <v>0</v>
      </c>
      <c r="AL38" s="52">
        <f>VLOOKUP($B38,'06.02 с мобил'!$B$6:$AK$50,33,0)-VLOOKUP($B38,'ФОТ по мобил.'!$B$6:$Q$49,14,0)</f>
        <v>8794.7</v>
      </c>
      <c r="AM38" s="52">
        <f>VLOOKUP($B38,'06.02 с мобил'!$B$6:$AK$50,34,0)/VLOOKUP($B38,'06.02 с мобил'!$B$6:$AK$50,33,0)*AL38</f>
        <v>2638.4100000000003</v>
      </c>
      <c r="AN38" s="47">
        <f t="shared" si="66"/>
        <v>11433.11</v>
      </c>
      <c r="AO38" s="149">
        <f>VLOOKUP($B38,'06.02 с мобил'!$B$6:$AK$50,36,0)</f>
        <v>0</v>
      </c>
      <c r="AP38" s="147">
        <f t="shared" si="67"/>
        <v>11433.11</v>
      </c>
      <c r="AQ38" s="59">
        <f>VLOOKUP($B38,'06.02 с мобил'!$B$6:$AK$50,30,0)</f>
        <v>0</v>
      </c>
      <c r="AR38" s="52">
        <f>VLOOKUP($B38,'06.02 с мобил'!$B$6:$AK$50,31,0)</f>
        <v>0</v>
      </c>
      <c r="AS38" s="51">
        <f t="shared" si="68"/>
        <v>0</v>
      </c>
      <c r="AT38" s="52">
        <f>VLOOKUP($B38,'06.02 с мобил'!$B$6:$AK$50,33,0)-VLOOKUP($B38,'ФОТ по мобил.'!$B$6:$Q$49,14,0)</f>
        <v>8794.7</v>
      </c>
      <c r="AU38" s="52">
        <f>VLOOKUP($B38,'06.02 с мобил'!$B$6:$AK$50,34,0)/VLOOKUP($B38,'06.02 с мобил'!$B$6:$AK$50,33,0)*AT38</f>
        <v>2638.4100000000003</v>
      </c>
      <c r="AV38" s="47">
        <f t="shared" si="69"/>
        <v>11433.11</v>
      </c>
      <c r="AW38" s="149">
        <f>VLOOKUP($B38,'06.02 с мобил'!$B$6:$AK$50,36,0)</f>
        <v>0</v>
      </c>
      <c r="AX38" s="147">
        <f t="shared" si="70"/>
        <v>11433.11</v>
      </c>
      <c r="AY38" s="59">
        <f>VLOOKUP($B38,'06.02 с мобил'!$B$6:$AK$50,30,0)</f>
        <v>0</v>
      </c>
      <c r="AZ38" s="52">
        <f>VLOOKUP($B38,'06.02 с мобил'!$B$6:$AK$50,31,0)</f>
        <v>0</v>
      </c>
      <c r="BA38" s="51">
        <f t="shared" si="71"/>
        <v>0</v>
      </c>
      <c r="BB38" s="52">
        <f>VLOOKUP($B38,'06.02 с мобил'!$B$6:$AK$50,33,0)-VLOOKUP($B38,'ФОТ по мобил.'!$B$6:$Q$49,14,0)</f>
        <v>8794.7</v>
      </c>
      <c r="BC38" s="52">
        <f>VLOOKUP($B38,'06.02 с мобил'!$B$6:$AK$50,34,0)/VLOOKUP($B38,'06.02 с мобил'!$B$6:$AK$50,33,0)*BB38</f>
        <v>2638.4100000000003</v>
      </c>
      <c r="BD38" s="47">
        <f t="shared" si="72"/>
        <v>11433.11</v>
      </c>
      <c r="BE38" s="149">
        <f>VLOOKUP($B38,'06.02 с мобил'!$B$6:$AK$50,36,0)</f>
        <v>0</v>
      </c>
      <c r="BF38" s="147">
        <f t="shared" si="73"/>
        <v>11433.11</v>
      </c>
    </row>
    <row r="39" spans="1:58" s="82" customFormat="1" ht="18.75" hidden="1" outlineLevel="1">
      <c r="A39" s="162">
        <v>9</v>
      </c>
      <c r="B39" s="36" t="s">
        <v>98</v>
      </c>
      <c r="C39" s="134">
        <f t="shared" si="51"/>
        <v>0</v>
      </c>
      <c r="D39" s="134">
        <f t="shared" si="52"/>
        <v>0</v>
      </c>
      <c r="E39" s="134"/>
      <c r="F39" s="134">
        <f t="shared" si="53"/>
        <v>59628.59999999999</v>
      </c>
      <c r="G39" s="134">
        <f t="shared" si="54"/>
        <v>17888.579999999998</v>
      </c>
      <c r="H39" s="136">
        <f t="shared" si="48"/>
        <v>77517.18</v>
      </c>
      <c r="I39" s="150">
        <f t="shared" si="49"/>
        <v>0</v>
      </c>
      <c r="J39" s="152">
        <f t="shared" si="55"/>
        <v>77517.18</v>
      </c>
      <c r="K39" s="140">
        <f>VLOOKUP($B39,'06.02 с мобил'!$B$6:$AK$50,9,0)</f>
        <v>0</v>
      </c>
      <c r="L39" s="134">
        <f>VLOOKUP($B39,'06.02 с мобил'!$B$6:$AK$50,10,0)</f>
        <v>0</v>
      </c>
      <c r="M39" s="134">
        <f t="shared" si="56"/>
        <v>0</v>
      </c>
      <c r="N39" s="30">
        <f>VLOOKUP($B39,'06.02 с мобил'!$B$6:$AK$50,12,0)-VLOOKUP($B39,'ФОТ по мобил.'!$B$6:$Q$49,5,0)</f>
        <v>10870.9</v>
      </c>
      <c r="O39" s="30">
        <f>VLOOKUP($B39,'06.02 с мобил'!$B$6:$AK$50,13,0)/VLOOKUP($B39,'06.02 с мобил'!$B$6:$AK$50,12,0)*N39</f>
        <v>3261.27</v>
      </c>
      <c r="P39" s="135">
        <f t="shared" si="57"/>
        <v>14132.17</v>
      </c>
      <c r="Q39" s="151">
        <f>VLOOKUP($B39,'06.02 с мобил'!$B$6:$AK$50,15,0)</f>
        <v>0</v>
      </c>
      <c r="R39" s="152">
        <f t="shared" si="58"/>
        <v>14132.17</v>
      </c>
      <c r="S39" s="165">
        <f>VLOOKUP($B39,'06.02 с мобил'!$B$6:$AK$50,16,0)</f>
        <v>0</v>
      </c>
      <c r="T39" s="134">
        <f>VLOOKUP($B39,'06.02 с мобил'!$B$6:$AK$50,17,0)</f>
        <v>0</v>
      </c>
      <c r="U39" s="134">
        <f t="shared" si="59"/>
        <v>0</v>
      </c>
      <c r="V39" s="30">
        <f>VLOOKUP($B39,'06.02 с мобил'!$B$6:$AK$50,19,0)-VLOOKUP($B39,'ФОТ по мобил.'!$B$6:$Q$49,8,0)</f>
        <v>10283.1</v>
      </c>
      <c r="W39" s="30">
        <f>VLOOKUP($B39,'06.02 с мобил'!$B$6:$AK$50,20,0)/VLOOKUP($B39,'06.02 с мобил'!$B$6:$AK$50,19,0)*V39</f>
        <v>3084.93</v>
      </c>
      <c r="X39" s="136">
        <f t="shared" si="60"/>
        <v>13368.03</v>
      </c>
      <c r="Y39" s="151">
        <f>VLOOKUP($B39,'06.02 с мобил'!$B$6:$AK$50,22,0)</f>
        <v>0</v>
      </c>
      <c r="Z39" s="152">
        <f t="shared" si="61"/>
        <v>13368.03</v>
      </c>
      <c r="AA39" s="140">
        <f>VLOOKUP($B39,'06.02 с мобил'!$B$6:$AK$50,23,0)</f>
        <v>0</v>
      </c>
      <c r="AB39" s="134">
        <f>VLOOKUP($B39,'06.02 с мобил'!$B$6:$AK$50,24,0)</f>
        <v>0</v>
      </c>
      <c r="AC39" s="134">
        <f t="shared" si="62"/>
        <v>0</v>
      </c>
      <c r="AD39" s="30">
        <f>VLOOKUP($B39,'06.02 с мобил'!$B$6:$AK$50,26,0)-VLOOKUP($B39,'ФОТ по мобил.'!$B$6:$Q$49,11,0)</f>
        <v>9567.5</v>
      </c>
      <c r="AE39" s="30">
        <f>VLOOKUP($B39,'06.02 с мобил'!$B$6:$AK$50,27,0)/VLOOKUP($B39,'06.02 с мобил'!$B$6:$AK$50,26,0)*AD39</f>
        <v>2870.25</v>
      </c>
      <c r="AF39" s="136">
        <f t="shared" si="63"/>
        <v>12437.75</v>
      </c>
      <c r="AG39" s="151">
        <f>VLOOKUP($B39,'06.02 с мобил'!$B$6:$AK$50,29,0)</f>
        <v>0</v>
      </c>
      <c r="AH39" s="152">
        <f t="shared" si="64"/>
        <v>12437.75</v>
      </c>
      <c r="AI39" s="157">
        <f>VLOOKUP($B39,'06.02 с мобил'!$B$6:$AK$50,30,0)</f>
        <v>0</v>
      </c>
      <c r="AJ39" s="30">
        <f>VLOOKUP($B39,'06.02 с мобил'!$B$6:$AK$50,31,0)</f>
        <v>0</v>
      </c>
      <c r="AK39" s="134">
        <f t="shared" si="65"/>
        <v>0</v>
      </c>
      <c r="AL39" s="30">
        <f>VLOOKUP($B39,'06.02 с мобил'!$B$6:$AK$50,33,0)-VLOOKUP($B39,'ФОТ по мобил.'!$B$6:$Q$49,14,0)</f>
        <v>9635.7</v>
      </c>
      <c r="AM39" s="30">
        <f>VLOOKUP($B39,'06.02 с мобил'!$B$6:$AK$50,34,0)/VLOOKUP($B39,'06.02 с мобил'!$B$6:$AK$50,33,0)*AL39</f>
        <v>2890.71</v>
      </c>
      <c r="AN39" s="136">
        <f t="shared" si="66"/>
        <v>12526.41</v>
      </c>
      <c r="AO39" s="151">
        <f>VLOOKUP($B39,'06.02 с мобил'!$B$6:$AK$50,36,0)</f>
        <v>0</v>
      </c>
      <c r="AP39" s="152">
        <f t="shared" si="67"/>
        <v>12526.41</v>
      </c>
      <c r="AQ39" s="157">
        <f>VLOOKUP($B39,'06.02 с мобил'!$B$6:$AK$50,30,0)</f>
        <v>0</v>
      </c>
      <c r="AR39" s="30">
        <f>VLOOKUP($B39,'06.02 с мобил'!$B$6:$AK$50,31,0)</f>
        <v>0</v>
      </c>
      <c r="AS39" s="134">
        <f t="shared" si="68"/>
        <v>0</v>
      </c>
      <c r="AT39" s="30">
        <f>VLOOKUP($B39,'06.02 с мобил'!$B$6:$AK$50,33,0)-VLOOKUP($B39,'ФОТ по мобил.'!$B$6:$Q$49,14,0)</f>
        <v>9635.7</v>
      </c>
      <c r="AU39" s="30">
        <f>VLOOKUP($B39,'06.02 с мобил'!$B$6:$AK$50,34,0)/VLOOKUP($B39,'06.02 с мобил'!$B$6:$AK$50,33,0)*AT39</f>
        <v>2890.71</v>
      </c>
      <c r="AV39" s="136">
        <f t="shared" si="69"/>
        <v>12526.41</v>
      </c>
      <c r="AW39" s="151">
        <f>VLOOKUP($B39,'06.02 с мобил'!$B$6:$AK$50,36,0)</f>
        <v>0</v>
      </c>
      <c r="AX39" s="152">
        <f t="shared" si="70"/>
        <v>12526.41</v>
      </c>
      <c r="AY39" s="157">
        <f>VLOOKUP($B39,'06.02 с мобил'!$B$6:$AK$50,30,0)</f>
        <v>0</v>
      </c>
      <c r="AZ39" s="30">
        <f>VLOOKUP($B39,'06.02 с мобил'!$B$6:$AK$50,31,0)</f>
        <v>0</v>
      </c>
      <c r="BA39" s="134">
        <f t="shared" si="71"/>
        <v>0</v>
      </c>
      <c r="BB39" s="30">
        <f>VLOOKUP($B39,'06.02 с мобил'!$B$6:$AK$50,33,0)-VLOOKUP($B39,'ФОТ по мобил.'!$B$6:$Q$49,14,0)</f>
        <v>9635.7</v>
      </c>
      <c r="BC39" s="30">
        <f>VLOOKUP($B39,'06.02 с мобил'!$B$6:$AK$50,34,0)/VLOOKUP($B39,'06.02 с мобил'!$B$6:$AK$50,33,0)*BB39</f>
        <v>2890.71</v>
      </c>
      <c r="BD39" s="136">
        <f t="shared" si="72"/>
        <v>12526.41</v>
      </c>
      <c r="BE39" s="151">
        <f>VLOOKUP($B39,'06.02 с мобил'!$B$6:$AK$50,36,0)</f>
        <v>0</v>
      </c>
      <c r="BF39" s="152">
        <f t="shared" si="73"/>
        <v>12526.41</v>
      </c>
    </row>
    <row r="40" spans="1:58" s="3" customFormat="1" ht="18.75" hidden="1" outlineLevel="1">
      <c r="A40" s="162">
        <v>10</v>
      </c>
      <c r="B40" s="36" t="s">
        <v>99</v>
      </c>
      <c r="C40" s="45">
        <f t="shared" si="51"/>
        <v>0</v>
      </c>
      <c r="D40" s="45">
        <f t="shared" si="52"/>
        <v>0</v>
      </c>
      <c r="E40" s="45"/>
      <c r="F40" s="45">
        <f t="shared" si="53"/>
        <v>40320.7</v>
      </c>
      <c r="G40" s="45">
        <f t="shared" si="54"/>
        <v>12096.21</v>
      </c>
      <c r="H40" s="47">
        <f t="shared" si="48"/>
        <v>52416.909999999996</v>
      </c>
      <c r="I40" s="148">
        <f t="shared" si="49"/>
        <v>0</v>
      </c>
      <c r="J40" s="147">
        <f t="shared" si="55"/>
        <v>52416.909999999996</v>
      </c>
      <c r="K40" s="139">
        <f>VLOOKUP($B40,'06.02 с мобил'!$B$6:$AK$50,9,0)</f>
        <v>0</v>
      </c>
      <c r="L40" s="45">
        <f>VLOOKUP($B40,'06.02 с мобил'!$B$6:$AK$50,10,0)</f>
        <v>0</v>
      </c>
      <c r="M40" s="51">
        <f t="shared" si="56"/>
        <v>0</v>
      </c>
      <c r="N40" s="52">
        <f>VLOOKUP($B40,'06.02 с мобил'!$B$6:$AK$50,12,0)-VLOOKUP($B40,'ФОТ по мобил.'!$B$6:$Q$49,5,0)</f>
        <v>6189</v>
      </c>
      <c r="O40" s="52">
        <f>VLOOKUP($B40,'06.02 с мобил'!$B$6:$AK$50,13,0)/VLOOKUP($B40,'06.02 с мобил'!$B$6:$AK$50,12,0)*N40</f>
        <v>1856.6999999999998</v>
      </c>
      <c r="P40" s="133">
        <f t="shared" si="57"/>
        <v>8045.7</v>
      </c>
      <c r="Q40" s="149">
        <f>VLOOKUP($B40,'06.02 с мобил'!$B$6:$AK$50,15,0)</f>
        <v>0</v>
      </c>
      <c r="R40" s="147">
        <f t="shared" si="58"/>
        <v>8045.7</v>
      </c>
      <c r="S40" s="161">
        <f>VLOOKUP($B40,'06.02 с мобил'!$B$6:$AK$50,16,0)</f>
        <v>0</v>
      </c>
      <c r="T40" s="45">
        <f>VLOOKUP($B40,'06.02 с мобил'!$B$6:$AK$50,17,0)</f>
        <v>0</v>
      </c>
      <c r="U40" s="51">
        <f t="shared" si="59"/>
        <v>0</v>
      </c>
      <c r="V40" s="52">
        <f>VLOOKUP($B40,'06.02 с мобил'!$B$6:$AK$50,19,0)-VLOOKUP($B40,'ФОТ по мобил.'!$B$6:$Q$49,8,0)</f>
        <v>6643.1</v>
      </c>
      <c r="W40" s="52">
        <f>VLOOKUP($B40,'06.02 с мобил'!$B$6:$AK$50,20,0)/VLOOKUP($B40,'06.02 с мобил'!$B$6:$AK$50,19,0)*V40</f>
        <v>1992.93</v>
      </c>
      <c r="X40" s="47">
        <f t="shared" si="60"/>
        <v>8636.03</v>
      </c>
      <c r="Y40" s="149">
        <f>VLOOKUP($B40,'06.02 с мобил'!$B$6:$AK$50,22,0)</f>
        <v>0</v>
      </c>
      <c r="Z40" s="147">
        <f t="shared" si="61"/>
        <v>8636.03</v>
      </c>
      <c r="AA40" s="139">
        <f>VLOOKUP($B40,'06.02 с мобил'!$B$6:$AK$50,23,0)</f>
        <v>0</v>
      </c>
      <c r="AB40" s="45">
        <f>VLOOKUP($B40,'06.02 с мобил'!$B$6:$AK$50,24,0)</f>
        <v>0</v>
      </c>
      <c r="AC40" s="51">
        <f t="shared" si="62"/>
        <v>0</v>
      </c>
      <c r="AD40" s="52">
        <f>VLOOKUP($B40,'06.02 с мобил'!$B$6:$AK$50,26,0)-VLOOKUP($B40,'ФОТ по мобил.'!$B$6:$Q$49,11,0)</f>
        <v>6882.8</v>
      </c>
      <c r="AE40" s="52">
        <f>VLOOKUP($B40,'06.02 с мобил'!$B$6:$AK$50,27,0)/VLOOKUP($B40,'06.02 с мобил'!$B$6:$AK$50,26,0)*AD40</f>
        <v>2064.8399999999997</v>
      </c>
      <c r="AF40" s="47">
        <f t="shared" si="63"/>
        <v>8947.64</v>
      </c>
      <c r="AG40" s="149">
        <f>VLOOKUP($B40,'06.02 с мобил'!$B$6:$AK$50,29,0)</f>
        <v>0</v>
      </c>
      <c r="AH40" s="147">
        <f t="shared" si="64"/>
        <v>8947.64</v>
      </c>
      <c r="AI40" s="59">
        <f>VLOOKUP($B40,'06.02 с мобил'!$B$6:$AK$50,30,0)</f>
        <v>0</v>
      </c>
      <c r="AJ40" s="52">
        <f>VLOOKUP($B40,'06.02 с мобил'!$B$6:$AK$50,31,0)</f>
        <v>0</v>
      </c>
      <c r="AK40" s="51">
        <f t="shared" si="65"/>
        <v>0</v>
      </c>
      <c r="AL40" s="52">
        <f>VLOOKUP($B40,'06.02 с мобил'!$B$6:$AK$50,33,0)-VLOOKUP($B40,'ФОТ по мобил.'!$B$6:$Q$49,14,0)</f>
        <v>6868.6</v>
      </c>
      <c r="AM40" s="52">
        <f>VLOOKUP($B40,'06.02 с мобил'!$B$6:$AK$50,34,0)/VLOOKUP($B40,'06.02 с мобил'!$B$6:$AK$50,33,0)*AL40</f>
        <v>2060.58</v>
      </c>
      <c r="AN40" s="47">
        <f t="shared" si="66"/>
        <v>8929.18</v>
      </c>
      <c r="AO40" s="149">
        <f>VLOOKUP($B40,'06.02 с мобил'!$B$6:$AK$50,36,0)</f>
        <v>0</v>
      </c>
      <c r="AP40" s="147">
        <f t="shared" si="67"/>
        <v>8929.18</v>
      </c>
      <c r="AQ40" s="59">
        <f>VLOOKUP($B40,'06.02 с мобил'!$B$6:$AK$50,30,0)</f>
        <v>0</v>
      </c>
      <c r="AR40" s="52">
        <f>VLOOKUP($B40,'06.02 с мобил'!$B$6:$AK$50,31,0)</f>
        <v>0</v>
      </c>
      <c r="AS40" s="51">
        <f t="shared" si="68"/>
        <v>0</v>
      </c>
      <c r="AT40" s="52">
        <f>VLOOKUP($B40,'06.02 с мобил'!$B$6:$AK$50,33,0)-VLOOKUP($B40,'ФОТ по мобил.'!$B$6:$Q$49,14,0)</f>
        <v>6868.6</v>
      </c>
      <c r="AU40" s="52">
        <f>VLOOKUP($B40,'06.02 с мобил'!$B$6:$AK$50,34,0)/VLOOKUP($B40,'06.02 с мобил'!$B$6:$AK$50,33,0)*AT40</f>
        <v>2060.58</v>
      </c>
      <c r="AV40" s="47">
        <f t="shared" si="69"/>
        <v>8929.18</v>
      </c>
      <c r="AW40" s="149">
        <f>VLOOKUP($B40,'06.02 с мобил'!$B$6:$AK$50,36,0)</f>
        <v>0</v>
      </c>
      <c r="AX40" s="147">
        <f t="shared" si="70"/>
        <v>8929.18</v>
      </c>
      <c r="AY40" s="59">
        <f>VLOOKUP($B40,'06.02 с мобил'!$B$6:$AK$50,30,0)</f>
        <v>0</v>
      </c>
      <c r="AZ40" s="52">
        <f>VLOOKUP($B40,'06.02 с мобил'!$B$6:$AK$50,31,0)</f>
        <v>0</v>
      </c>
      <c r="BA40" s="51">
        <f t="shared" si="71"/>
        <v>0</v>
      </c>
      <c r="BB40" s="52">
        <f>VLOOKUP($B40,'06.02 с мобил'!$B$6:$AK$50,33,0)-VLOOKUP($B40,'ФОТ по мобил.'!$B$6:$Q$49,14,0)</f>
        <v>6868.6</v>
      </c>
      <c r="BC40" s="52">
        <f>VLOOKUP($B40,'06.02 с мобил'!$B$6:$AK$50,34,0)/VLOOKUP($B40,'06.02 с мобил'!$B$6:$AK$50,33,0)*BB40</f>
        <v>2060.58</v>
      </c>
      <c r="BD40" s="47">
        <f t="shared" si="72"/>
        <v>8929.18</v>
      </c>
      <c r="BE40" s="149">
        <f>VLOOKUP($B40,'06.02 с мобил'!$B$6:$AK$50,36,0)</f>
        <v>0</v>
      </c>
      <c r="BF40" s="147">
        <f t="shared" si="73"/>
        <v>8929.18</v>
      </c>
    </row>
    <row r="41" spans="1:58" s="3" customFormat="1" ht="18.75" hidden="1" outlineLevel="1">
      <c r="A41" s="162">
        <v>11</v>
      </c>
      <c r="B41" s="36" t="s">
        <v>100</v>
      </c>
      <c r="C41" s="45">
        <f t="shared" si="51"/>
        <v>0</v>
      </c>
      <c r="D41" s="45">
        <f t="shared" si="52"/>
        <v>0</v>
      </c>
      <c r="E41" s="45"/>
      <c r="F41" s="45">
        <f t="shared" si="53"/>
        <v>22818.9</v>
      </c>
      <c r="G41" s="45">
        <f t="shared" si="54"/>
        <v>6845.67</v>
      </c>
      <c r="H41" s="47">
        <f t="shared" si="48"/>
        <v>29664.57</v>
      </c>
      <c r="I41" s="148">
        <f t="shared" si="49"/>
        <v>0</v>
      </c>
      <c r="J41" s="147">
        <f t="shared" si="55"/>
        <v>29664.57</v>
      </c>
      <c r="K41" s="139">
        <f>VLOOKUP($B41,'06.02 с мобил'!$B$6:$AK$50,9,0)</f>
        <v>0</v>
      </c>
      <c r="L41" s="45">
        <f>VLOOKUP($B41,'06.02 с мобил'!$B$6:$AK$50,10,0)</f>
        <v>0</v>
      </c>
      <c r="M41" s="51">
        <f t="shared" si="56"/>
        <v>0</v>
      </c>
      <c r="N41" s="52">
        <f>VLOOKUP($B41,'06.02 с мобил'!$B$6:$AK$50,12,0)-VLOOKUP($B41,'ФОТ по мобил.'!$B$6:$Q$49,5,0)</f>
        <v>4072.8</v>
      </c>
      <c r="O41" s="52">
        <f>VLOOKUP($B41,'06.02 с мобил'!$B$6:$AK$50,13,0)/VLOOKUP($B41,'06.02 с мобил'!$B$6:$AK$50,12,0)*N41</f>
        <v>1221.84</v>
      </c>
      <c r="P41" s="133">
        <f t="shared" si="57"/>
        <v>5294.64</v>
      </c>
      <c r="Q41" s="149">
        <f>VLOOKUP($B41,'06.02 с мобил'!$B$6:$AK$50,15,0)</f>
        <v>0</v>
      </c>
      <c r="R41" s="147">
        <f t="shared" si="58"/>
        <v>5294.64</v>
      </c>
      <c r="S41" s="161">
        <f>VLOOKUP($B41,'06.02 с мобил'!$B$6:$AK$50,16,0)</f>
        <v>0</v>
      </c>
      <c r="T41" s="45">
        <f>VLOOKUP($B41,'06.02 с мобил'!$B$6:$AK$50,17,0)</f>
        <v>0</v>
      </c>
      <c r="U41" s="51">
        <f t="shared" si="59"/>
        <v>0</v>
      </c>
      <c r="V41" s="52">
        <f>VLOOKUP($B41,'06.02 с мобил'!$B$6:$AK$50,19,0)-VLOOKUP($B41,'ФОТ по мобил.'!$B$6:$Q$49,8,0)</f>
        <v>3796.6</v>
      </c>
      <c r="W41" s="52">
        <f>VLOOKUP($B41,'06.02 с мобил'!$B$6:$AK$50,20,0)/VLOOKUP($B41,'06.02 с мобил'!$B$6:$AK$50,19,0)*V41</f>
        <v>1138.98</v>
      </c>
      <c r="X41" s="47">
        <f t="shared" si="60"/>
        <v>4935.58</v>
      </c>
      <c r="Y41" s="149">
        <f>VLOOKUP($B41,'06.02 с мобил'!$B$6:$AK$50,22,0)</f>
        <v>0</v>
      </c>
      <c r="Z41" s="147">
        <f t="shared" si="61"/>
        <v>4935.58</v>
      </c>
      <c r="AA41" s="139">
        <f>VLOOKUP($B41,'06.02 с мобил'!$B$6:$AK$50,23,0)</f>
        <v>0</v>
      </c>
      <c r="AB41" s="45">
        <f>VLOOKUP($B41,'06.02 с мобил'!$B$6:$AK$50,24,0)</f>
        <v>0</v>
      </c>
      <c r="AC41" s="51">
        <f t="shared" si="62"/>
        <v>0</v>
      </c>
      <c r="AD41" s="52">
        <f>VLOOKUP($B41,'06.02 с мобил'!$B$6:$AK$50,26,0)-VLOOKUP($B41,'ФОТ по мобил.'!$B$6:$Q$49,11,0)</f>
        <v>3798.5</v>
      </c>
      <c r="AE41" s="52">
        <f>VLOOKUP($B41,'06.02 с мобил'!$B$6:$AK$50,27,0)/VLOOKUP($B41,'06.02 с мобил'!$B$6:$AK$50,26,0)*AD41</f>
        <v>1139.55</v>
      </c>
      <c r="AF41" s="47">
        <f t="shared" si="63"/>
        <v>4938.05</v>
      </c>
      <c r="AG41" s="149">
        <f>VLOOKUP($B41,'06.02 с мобил'!$B$6:$AK$50,29,0)</f>
        <v>0</v>
      </c>
      <c r="AH41" s="147">
        <f t="shared" si="64"/>
        <v>4938.05</v>
      </c>
      <c r="AI41" s="59">
        <f>VLOOKUP($B41,'06.02 с мобил'!$B$6:$AK$50,30,0)</f>
        <v>0</v>
      </c>
      <c r="AJ41" s="52">
        <f>VLOOKUP($B41,'06.02 с мобил'!$B$6:$AK$50,31,0)</f>
        <v>0</v>
      </c>
      <c r="AK41" s="51">
        <f t="shared" si="65"/>
        <v>0</v>
      </c>
      <c r="AL41" s="52">
        <f>VLOOKUP($B41,'06.02 с мобил'!$B$6:$AK$50,33,0)-VLOOKUP($B41,'ФОТ по мобил.'!$B$6:$Q$49,14,0)</f>
        <v>3717</v>
      </c>
      <c r="AM41" s="52">
        <f>VLOOKUP($B41,'06.02 с мобил'!$B$6:$AK$50,34,0)/VLOOKUP($B41,'06.02 с мобил'!$B$6:$AK$50,33,0)*AL41</f>
        <v>1115.1</v>
      </c>
      <c r="AN41" s="47">
        <f t="shared" si="66"/>
        <v>4832.1</v>
      </c>
      <c r="AO41" s="149">
        <f>VLOOKUP($B41,'06.02 с мобил'!$B$6:$AK$50,36,0)</f>
        <v>0</v>
      </c>
      <c r="AP41" s="147">
        <f t="shared" si="67"/>
        <v>4832.1</v>
      </c>
      <c r="AQ41" s="59">
        <f>VLOOKUP($B41,'06.02 с мобил'!$B$6:$AK$50,30,0)</f>
        <v>0</v>
      </c>
      <c r="AR41" s="52">
        <f>VLOOKUP($B41,'06.02 с мобил'!$B$6:$AK$50,31,0)</f>
        <v>0</v>
      </c>
      <c r="AS41" s="51">
        <f t="shared" si="68"/>
        <v>0</v>
      </c>
      <c r="AT41" s="52">
        <f>VLOOKUP($B41,'06.02 с мобил'!$B$6:$AK$50,33,0)-VLOOKUP($B41,'ФОТ по мобил.'!$B$6:$Q$49,14,0)</f>
        <v>3717</v>
      </c>
      <c r="AU41" s="52">
        <f>VLOOKUP($B41,'06.02 с мобил'!$B$6:$AK$50,34,0)/VLOOKUP($B41,'06.02 с мобил'!$B$6:$AK$50,33,0)*AT41</f>
        <v>1115.1</v>
      </c>
      <c r="AV41" s="47">
        <f t="shared" si="69"/>
        <v>4832.1</v>
      </c>
      <c r="AW41" s="149">
        <f>VLOOKUP($B41,'06.02 с мобил'!$B$6:$AK$50,36,0)</f>
        <v>0</v>
      </c>
      <c r="AX41" s="147">
        <f t="shared" si="70"/>
        <v>4832.1</v>
      </c>
      <c r="AY41" s="59">
        <f>VLOOKUP($B41,'06.02 с мобил'!$B$6:$AK$50,30,0)</f>
        <v>0</v>
      </c>
      <c r="AZ41" s="52">
        <f>VLOOKUP($B41,'06.02 с мобил'!$B$6:$AK$50,31,0)</f>
        <v>0</v>
      </c>
      <c r="BA41" s="51">
        <f t="shared" si="71"/>
        <v>0</v>
      </c>
      <c r="BB41" s="52">
        <f>VLOOKUP($B41,'06.02 с мобил'!$B$6:$AK$50,33,0)-VLOOKUP($B41,'ФОТ по мобил.'!$B$6:$Q$49,14,0)</f>
        <v>3717</v>
      </c>
      <c r="BC41" s="52">
        <f>VLOOKUP($B41,'06.02 с мобил'!$B$6:$AK$50,34,0)/VLOOKUP($B41,'06.02 с мобил'!$B$6:$AK$50,33,0)*BB41</f>
        <v>1115.1</v>
      </c>
      <c r="BD41" s="47">
        <f t="shared" si="72"/>
        <v>4832.1</v>
      </c>
      <c r="BE41" s="149">
        <f>VLOOKUP($B41,'06.02 с мобил'!$B$6:$AK$50,36,0)</f>
        <v>0</v>
      </c>
      <c r="BF41" s="147">
        <f t="shared" si="73"/>
        <v>4832.1</v>
      </c>
    </row>
    <row r="42" spans="1:58" s="3" customFormat="1" ht="18.75" hidden="1" outlineLevel="1">
      <c r="A42" s="162">
        <v>12</v>
      </c>
      <c r="B42" s="36" t="s">
        <v>101</v>
      </c>
      <c r="C42" s="45">
        <f t="shared" si="51"/>
        <v>0</v>
      </c>
      <c r="D42" s="45">
        <f t="shared" si="52"/>
        <v>0</v>
      </c>
      <c r="E42" s="45"/>
      <c r="F42" s="45">
        <f t="shared" si="53"/>
        <v>1766.6</v>
      </c>
      <c r="G42" s="45">
        <f t="shared" si="54"/>
        <v>529.9799999999999</v>
      </c>
      <c r="H42" s="47">
        <f t="shared" si="48"/>
        <v>2296.58</v>
      </c>
      <c r="I42" s="148">
        <f t="shared" si="49"/>
        <v>0</v>
      </c>
      <c r="J42" s="147">
        <f t="shared" si="55"/>
        <v>2296.58</v>
      </c>
      <c r="K42" s="139">
        <f>VLOOKUP($B42,'06.02 с мобил'!$B$6:$AK$50,9,0)</f>
        <v>0</v>
      </c>
      <c r="L42" s="45">
        <f>VLOOKUP($B42,'06.02 с мобил'!$B$6:$AK$50,10,0)</f>
        <v>0</v>
      </c>
      <c r="M42" s="51">
        <f t="shared" si="56"/>
        <v>0</v>
      </c>
      <c r="N42" s="52">
        <f>VLOOKUP($B42,'06.02 с мобил'!$B$6:$AK$50,12,0)-VLOOKUP($B42,'ФОТ по мобил.'!$B$6:$Q$49,5,0)</f>
        <v>263.6</v>
      </c>
      <c r="O42" s="52">
        <f>VLOOKUP($B42,'06.02 с мобил'!$B$6:$AK$50,13,0)/VLOOKUP($B42,'06.02 с мобил'!$B$6:$AK$50,12,0)*N42</f>
        <v>79.08</v>
      </c>
      <c r="P42" s="133">
        <f t="shared" si="57"/>
        <v>342.68</v>
      </c>
      <c r="Q42" s="149">
        <f>VLOOKUP($B42,'06.02 с мобил'!$B$6:$AK$50,15,0)</f>
        <v>0</v>
      </c>
      <c r="R42" s="147">
        <f t="shared" si="58"/>
        <v>342.68</v>
      </c>
      <c r="S42" s="161">
        <f>VLOOKUP($B42,'06.02 с мобил'!$B$6:$AK$50,16,0)</f>
        <v>0</v>
      </c>
      <c r="T42" s="45">
        <f>VLOOKUP($B42,'06.02 с мобил'!$B$6:$AK$50,17,0)</f>
        <v>0</v>
      </c>
      <c r="U42" s="51">
        <f t="shared" si="59"/>
        <v>0</v>
      </c>
      <c r="V42" s="52">
        <f>VLOOKUP($B42,'06.02 с мобил'!$B$6:$AK$50,19,0)-VLOOKUP($B42,'ФОТ по мобил.'!$B$6:$Q$49,8,0)</f>
        <v>300.5</v>
      </c>
      <c r="W42" s="52">
        <f>VLOOKUP($B42,'06.02 с мобил'!$B$6:$AK$50,20,0)/VLOOKUP($B42,'06.02 с мобил'!$B$6:$AK$50,19,0)*V42</f>
        <v>90.14999999999999</v>
      </c>
      <c r="X42" s="47">
        <f t="shared" si="60"/>
        <v>390.65</v>
      </c>
      <c r="Y42" s="149">
        <f>VLOOKUP($B42,'06.02 с мобил'!$B$6:$AK$50,22,0)</f>
        <v>0</v>
      </c>
      <c r="Z42" s="147">
        <f t="shared" si="61"/>
        <v>390.65</v>
      </c>
      <c r="AA42" s="139">
        <f>VLOOKUP($B42,'06.02 с мобил'!$B$6:$AK$50,23,0)</f>
        <v>0</v>
      </c>
      <c r="AB42" s="45">
        <f>VLOOKUP($B42,'06.02 с мобил'!$B$6:$AK$50,24,0)</f>
        <v>0</v>
      </c>
      <c r="AC42" s="51">
        <f t="shared" si="62"/>
        <v>0</v>
      </c>
      <c r="AD42" s="52">
        <f>VLOOKUP($B42,'06.02 с мобил'!$B$6:$AK$50,26,0)-VLOOKUP($B42,'ФОТ по мобил.'!$B$6:$Q$49,11,0)</f>
        <v>301</v>
      </c>
      <c r="AE42" s="52">
        <f>VLOOKUP($B42,'06.02 с мобил'!$B$6:$AK$50,27,0)/VLOOKUP($B42,'06.02 с мобил'!$B$6:$AK$50,26,0)*AD42</f>
        <v>90.3</v>
      </c>
      <c r="AF42" s="47">
        <f t="shared" si="63"/>
        <v>391.3</v>
      </c>
      <c r="AG42" s="149">
        <f>VLOOKUP($B42,'06.02 с мобил'!$B$6:$AK$50,29,0)</f>
        <v>0</v>
      </c>
      <c r="AH42" s="147">
        <f t="shared" si="64"/>
        <v>391.3</v>
      </c>
      <c r="AI42" s="59">
        <f>VLOOKUP($B42,'06.02 с мобил'!$B$6:$AK$50,30,0)</f>
        <v>0</v>
      </c>
      <c r="AJ42" s="52">
        <f>VLOOKUP($B42,'06.02 с мобил'!$B$6:$AK$50,31,0)</f>
        <v>0</v>
      </c>
      <c r="AK42" s="51">
        <f t="shared" si="65"/>
        <v>0</v>
      </c>
      <c r="AL42" s="52">
        <f>VLOOKUP($B42,'06.02 с мобил'!$B$6:$AK$50,33,0)-VLOOKUP($B42,'ФОТ по мобил.'!$B$6:$Q$49,14,0)</f>
        <v>300.5</v>
      </c>
      <c r="AM42" s="52">
        <f>VLOOKUP($B42,'06.02 с мобил'!$B$6:$AK$50,34,0)/VLOOKUP($B42,'06.02 с мобил'!$B$6:$AK$50,33,0)*AL42</f>
        <v>90.14999999999999</v>
      </c>
      <c r="AN42" s="47">
        <f t="shared" si="66"/>
        <v>390.65</v>
      </c>
      <c r="AO42" s="149">
        <f>VLOOKUP($B42,'06.02 с мобил'!$B$6:$AK$50,36,0)</f>
        <v>0</v>
      </c>
      <c r="AP42" s="147">
        <f t="shared" si="67"/>
        <v>390.65</v>
      </c>
      <c r="AQ42" s="59">
        <f>VLOOKUP($B42,'06.02 с мобил'!$B$6:$AK$50,30,0)</f>
        <v>0</v>
      </c>
      <c r="AR42" s="52">
        <f>VLOOKUP($B42,'06.02 с мобил'!$B$6:$AK$50,31,0)</f>
        <v>0</v>
      </c>
      <c r="AS42" s="51">
        <f t="shared" si="68"/>
        <v>0</v>
      </c>
      <c r="AT42" s="52">
        <f>VLOOKUP($B42,'06.02 с мобил'!$B$6:$AK$50,33,0)-VLOOKUP($B42,'ФОТ по мобил.'!$B$6:$Q$49,14,0)</f>
        <v>300.5</v>
      </c>
      <c r="AU42" s="52">
        <f>VLOOKUP($B42,'06.02 с мобил'!$B$6:$AK$50,34,0)/VLOOKUP($B42,'06.02 с мобил'!$B$6:$AK$50,33,0)*AT42</f>
        <v>90.14999999999999</v>
      </c>
      <c r="AV42" s="47">
        <f t="shared" si="69"/>
        <v>390.65</v>
      </c>
      <c r="AW42" s="149">
        <f>VLOOKUP($B42,'06.02 с мобил'!$B$6:$AK$50,36,0)</f>
        <v>0</v>
      </c>
      <c r="AX42" s="147">
        <f t="shared" si="70"/>
        <v>390.65</v>
      </c>
      <c r="AY42" s="59">
        <f>VLOOKUP($B42,'06.02 с мобил'!$B$6:$AK$50,30,0)</f>
        <v>0</v>
      </c>
      <c r="AZ42" s="52">
        <f>VLOOKUP($B42,'06.02 с мобил'!$B$6:$AK$50,31,0)</f>
        <v>0</v>
      </c>
      <c r="BA42" s="51">
        <f t="shared" si="71"/>
        <v>0</v>
      </c>
      <c r="BB42" s="52">
        <f>VLOOKUP($B42,'06.02 с мобил'!$B$6:$AK$50,33,0)-VLOOKUP($B42,'ФОТ по мобил.'!$B$6:$Q$49,14,0)</f>
        <v>300.5</v>
      </c>
      <c r="BC42" s="52">
        <f>VLOOKUP($B42,'06.02 с мобил'!$B$6:$AK$50,34,0)/VLOOKUP($B42,'06.02 с мобил'!$B$6:$AK$50,33,0)*BB42</f>
        <v>90.14999999999999</v>
      </c>
      <c r="BD42" s="47">
        <f t="shared" si="72"/>
        <v>390.65</v>
      </c>
      <c r="BE42" s="149">
        <f>VLOOKUP($B42,'06.02 с мобил'!$B$6:$AK$50,36,0)</f>
        <v>0</v>
      </c>
      <c r="BF42" s="147">
        <f t="shared" si="73"/>
        <v>390.65</v>
      </c>
    </row>
    <row r="43" spans="1:58" s="3" customFormat="1" ht="18.75" hidden="1" outlineLevel="1">
      <c r="A43" s="162">
        <v>13</v>
      </c>
      <c r="B43" s="36" t="s">
        <v>119</v>
      </c>
      <c r="C43" s="45">
        <f t="shared" si="51"/>
        <v>0</v>
      </c>
      <c r="D43" s="45">
        <f t="shared" si="52"/>
        <v>0</v>
      </c>
      <c r="E43" s="45"/>
      <c r="F43" s="45">
        <f t="shared" si="53"/>
        <v>2309.8999999999996</v>
      </c>
      <c r="G43" s="45">
        <f t="shared" si="54"/>
        <v>692.97</v>
      </c>
      <c r="H43" s="47">
        <f t="shared" si="48"/>
        <v>3002.87</v>
      </c>
      <c r="I43" s="148">
        <f t="shared" si="49"/>
        <v>0</v>
      </c>
      <c r="J43" s="147">
        <f t="shared" si="55"/>
        <v>3002.87</v>
      </c>
      <c r="K43" s="139">
        <f>VLOOKUP($B43,'06.02 с мобил'!$B$6:$AK$50,9,0)</f>
        <v>0</v>
      </c>
      <c r="L43" s="45">
        <f>VLOOKUP($B43,'06.02 с мобил'!$B$6:$AK$50,10,0)</f>
        <v>0</v>
      </c>
      <c r="M43" s="51">
        <f t="shared" si="56"/>
        <v>0</v>
      </c>
      <c r="N43" s="52">
        <f>VLOOKUP($B43,'06.02 с мобил'!$B$6:$AK$50,12,0)-VLOOKUP($B43,'ФОТ по мобил.'!$B$6:$Q$49,5,0)</f>
        <v>315.9</v>
      </c>
      <c r="O43" s="52">
        <f>VLOOKUP($B43,'06.02 с мобил'!$B$6:$AK$50,13,0)/VLOOKUP($B43,'06.02 с мобил'!$B$6:$AK$50,12,0)*N43</f>
        <v>94.77</v>
      </c>
      <c r="P43" s="133">
        <f t="shared" si="57"/>
        <v>410.66999999999996</v>
      </c>
      <c r="Q43" s="149">
        <f>VLOOKUP($B43,'06.02 с мобил'!$B$6:$AK$50,15,0)</f>
        <v>0</v>
      </c>
      <c r="R43" s="147">
        <f t="shared" si="58"/>
        <v>410.66999999999996</v>
      </c>
      <c r="S43" s="161">
        <f>VLOOKUP($B43,'06.02 с мобил'!$B$6:$AK$50,16,0)</f>
        <v>0</v>
      </c>
      <c r="T43" s="45">
        <f>VLOOKUP($B43,'06.02 с мобил'!$B$6:$AK$50,17,0)</f>
        <v>0</v>
      </c>
      <c r="U43" s="51">
        <f t="shared" si="59"/>
        <v>0</v>
      </c>
      <c r="V43" s="52">
        <f>VLOOKUP($B43,'06.02 с мобил'!$B$6:$AK$50,19,0)-VLOOKUP($B43,'ФОТ по мобил.'!$B$6:$Q$49,8,0)</f>
        <v>381.3</v>
      </c>
      <c r="W43" s="52">
        <f>VLOOKUP($B43,'06.02 с мобил'!$B$6:$AK$50,20,0)/VLOOKUP($B43,'06.02 с мобил'!$B$6:$AK$50,19,0)*V43</f>
        <v>114.39</v>
      </c>
      <c r="X43" s="47">
        <f t="shared" si="60"/>
        <v>495.69</v>
      </c>
      <c r="Y43" s="149">
        <f>VLOOKUP($B43,'06.02 с мобил'!$B$6:$AK$50,22,0)</f>
        <v>0</v>
      </c>
      <c r="Z43" s="147">
        <f t="shared" si="61"/>
        <v>495.69</v>
      </c>
      <c r="AA43" s="139">
        <f>VLOOKUP($B43,'06.02 с мобил'!$B$6:$AK$50,23,0)</f>
        <v>0</v>
      </c>
      <c r="AB43" s="45">
        <f>VLOOKUP($B43,'06.02 с мобил'!$B$6:$AK$50,24,0)</f>
        <v>0</v>
      </c>
      <c r="AC43" s="51">
        <f t="shared" si="62"/>
        <v>0</v>
      </c>
      <c r="AD43" s="52">
        <f>VLOOKUP($B43,'06.02 с мобил'!$B$6:$AK$50,26,0)-VLOOKUP($B43,'ФОТ по мобил.'!$B$6:$Q$49,11,0)</f>
        <v>403.4</v>
      </c>
      <c r="AE43" s="52">
        <f>VLOOKUP($B43,'06.02 с мобил'!$B$6:$AK$50,27,0)/VLOOKUP($B43,'06.02 с мобил'!$B$6:$AK$50,26,0)*AD43</f>
        <v>121.01999999999998</v>
      </c>
      <c r="AF43" s="47">
        <f t="shared" si="63"/>
        <v>524.42</v>
      </c>
      <c r="AG43" s="149">
        <f>VLOOKUP($B43,'06.02 с мобил'!$B$6:$AK$50,29,0)</f>
        <v>0</v>
      </c>
      <c r="AH43" s="147">
        <f t="shared" si="64"/>
        <v>524.42</v>
      </c>
      <c r="AI43" s="59">
        <f>VLOOKUP($B43,'06.02 с мобил'!$B$6:$AK$50,30,0)</f>
        <v>0</v>
      </c>
      <c r="AJ43" s="52">
        <f>VLOOKUP($B43,'06.02 с мобил'!$B$6:$AK$50,31,0)</f>
        <v>0</v>
      </c>
      <c r="AK43" s="51">
        <f t="shared" si="65"/>
        <v>0</v>
      </c>
      <c r="AL43" s="52">
        <f>VLOOKUP($B43,'06.02 с мобил'!$B$6:$AK$50,33,0)-VLOOKUP($B43,'ФОТ по мобил.'!$B$6:$Q$49,14,0)</f>
        <v>403.1</v>
      </c>
      <c r="AM43" s="52">
        <f>VLOOKUP($B43,'06.02 с мобил'!$B$6:$AK$50,34,0)/VLOOKUP($B43,'06.02 с мобил'!$B$6:$AK$50,33,0)*AL43</f>
        <v>120.93</v>
      </c>
      <c r="AN43" s="47">
        <f t="shared" si="66"/>
        <v>524.03</v>
      </c>
      <c r="AO43" s="149">
        <f>VLOOKUP($B43,'06.02 с мобил'!$B$6:$AK$50,36,0)</f>
        <v>0</v>
      </c>
      <c r="AP43" s="147">
        <f t="shared" si="67"/>
        <v>524.03</v>
      </c>
      <c r="AQ43" s="59">
        <f>VLOOKUP($B43,'06.02 с мобил'!$B$6:$AK$50,30,0)</f>
        <v>0</v>
      </c>
      <c r="AR43" s="52">
        <f>VLOOKUP($B43,'06.02 с мобил'!$B$6:$AK$50,31,0)</f>
        <v>0</v>
      </c>
      <c r="AS43" s="51">
        <f t="shared" si="68"/>
        <v>0</v>
      </c>
      <c r="AT43" s="52">
        <f>VLOOKUP($B43,'06.02 с мобил'!$B$6:$AK$50,33,0)-VLOOKUP($B43,'ФОТ по мобил.'!$B$6:$Q$49,14,0)</f>
        <v>403.1</v>
      </c>
      <c r="AU43" s="52">
        <f>VLOOKUP($B43,'06.02 с мобил'!$B$6:$AK$50,34,0)/VLOOKUP($B43,'06.02 с мобил'!$B$6:$AK$50,33,0)*AT43</f>
        <v>120.93</v>
      </c>
      <c r="AV43" s="47">
        <f t="shared" si="69"/>
        <v>524.03</v>
      </c>
      <c r="AW43" s="149">
        <f>VLOOKUP($B43,'06.02 с мобил'!$B$6:$AK$50,36,0)</f>
        <v>0</v>
      </c>
      <c r="AX43" s="147">
        <f t="shared" si="70"/>
        <v>524.03</v>
      </c>
      <c r="AY43" s="59">
        <f>VLOOKUP($B43,'06.02 с мобил'!$B$6:$AK$50,30,0)</f>
        <v>0</v>
      </c>
      <c r="AZ43" s="52">
        <f>VLOOKUP($B43,'06.02 с мобил'!$B$6:$AK$50,31,0)</f>
        <v>0</v>
      </c>
      <c r="BA43" s="51">
        <f t="shared" si="71"/>
        <v>0</v>
      </c>
      <c r="BB43" s="52">
        <f>VLOOKUP($B43,'06.02 с мобил'!$B$6:$AK$50,33,0)-VLOOKUP($B43,'ФОТ по мобил.'!$B$6:$Q$49,14,0)</f>
        <v>403.1</v>
      </c>
      <c r="BC43" s="52">
        <f>VLOOKUP($B43,'06.02 с мобил'!$B$6:$AK$50,34,0)/VLOOKUP($B43,'06.02 с мобил'!$B$6:$AK$50,33,0)*BB43</f>
        <v>120.93</v>
      </c>
      <c r="BD43" s="47">
        <f t="shared" si="72"/>
        <v>524.03</v>
      </c>
      <c r="BE43" s="149">
        <f>VLOOKUP($B43,'06.02 с мобил'!$B$6:$AK$50,36,0)</f>
        <v>0</v>
      </c>
      <c r="BF43" s="147">
        <f t="shared" si="73"/>
        <v>524.03</v>
      </c>
    </row>
    <row r="44" spans="1:58" s="3" customFormat="1" ht="18.75" hidden="1" outlineLevel="1">
      <c r="A44" s="162">
        <v>14</v>
      </c>
      <c r="B44" s="36" t="s">
        <v>102</v>
      </c>
      <c r="C44" s="45">
        <f t="shared" si="51"/>
        <v>0</v>
      </c>
      <c r="D44" s="45">
        <f t="shared" si="52"/>
        <v>0</v>
      </c>
      <c r="E44" s="45"/>
      <c r="F44" s="45">
        <f t="shared" si="53"/>
        <v>801</v>
      </c>
      <c r="G44" s="45">
        <f t="shared" si="54"/>
        <v>240.3</v>
      </c>
      <c r="H44" s="47">
        <f t="shared" si="48"/>
        <v>1041.3</v>
      </c>
      <c r="I44" s="148">
        <f t="shared" si="49"/>
        <v>0</v>
      </c>
      <c r="J44" s="147">
        <f t="shared" si="55"/>
        <v>1041.3</v>
      </c>
      <c r="K44" s="139">
        <f>VLOOKUP($B44,'06.02 с мобил'!$B$6:$AK$50,9,0)</f>
        <v>0</v>
      </c>
      <c r="L44" s="45">
        <f>VLOOKUP($B44,'06.02 с мобил'!$B$6:$AK$50,10,0)</f>
        <v>0</v>
      </c>
      <c r="M44" s="51">
        <f t="shared" si="56"/>
        <v>0</v>
      </c>
      <c r="N44" s="52">
        <f>VLOOKUP($B44,'06.02 с мобил'!$B$6:$AK$50,12,0)-VLOOKUP($B44,'ФОТ по мобил.'!$B$6:$Q$49,5,0)</f>
        <v>133.5</v>
      </c>
      <c r="O44" s="52">
        <f>VLOOKUP($B44,'06.02 с мобил'!$B$6:$AK$50,13,0)/VLOOKUP($B44,'06.02 с мобил'!$B$6:$AK$50,12,0)*N44</f>
        <v>40.05</v>
      </c>
      <c r="P44" s="133">
        <f t="shared" si="57"/>
        <v>173.55</v>
      </c>
      <c r="Q44" s="149">
        <f>VLOOKUP($B44,'06.02 с мобил'!$B$6:$AK$50,15,0)</f>
        <v>0</v>
      </c>
      <c r="R44" s="147">
        <f t="shared" si="58"/>
        <v>173.55</v>
      </c>
      <c r="S44" s="161">
        <f>VLOOKUP($B44,'06.02 с мобил'!$B$6:$AK$50,16,0)</f>
        <v>0</v>
      </c>
      <c r="T44" s="45">
        <f>VLOOKUP($B44,'06.02 с мобил'!$B$6:$AK$50,17,0)</f>
        <v>0</v>
      </c>
      <c r="U44" s="51">
        <f t="shared" si="59"/>
        <v>0</v>
      </c>
      <c r="V44" s="52">
        <f>VLOOKUP($B44,'06.02 с мобил'!$B$6:$AK$50,19,0)-VLOOKUP($B44,'ФОТ по мобил.'!$B$6:$Q$49,8,0)</f>
        <v>133.5</v>
      </c>
      <c r="W44" s="52">
        <f>VLOOKUP($B44,'06.02 с мобил'!$B$6:$AK$50,20,0)/VLOOKUP($B44,'06.02 с мобил'!$B$6:$AK$50,19,0)*V44</f>
        <v>40.05</v>
      </c>
      <c r="X44" s="47">
        <f t="shared" si="60"/>
        <v>173.55</v>
      </c>
      <c r="Y44" s="149">
        <f>VLOOKUP($B44,'06.02 с мобил'!$B$6:$AK$50,22,0)</f>
        <v>0</v>
      </c>
      <c r="Z44" s="147">
        <f t="shared" si="61"/>
        <v>173.55</v>
      </c>
      <c r="AA44" s="139">
        <f>VLOOKUP($B44,'06.02 с мобил'!$B$6:$AK$50,23,0)</f>
        <v>0</v>
      </c>
      <c r="AB44" s="45">
        <f>VLOOKUP($B44,'06.02 с мобил'!$B$6:$AK$50,24,0)</f>
        <v>0</v>
      </c>
      <c r="AC44" s="51">
        <f t="shared" si="62"/>
        <v>0</v>
      </c>
      <c r="AD44" s="52">
        <f>VLOOKUP($B44,'06.02 с мобил'!$B$6:$AK$50,26,0)-VLOOKUP($B44,'ФОТ по мобил.'!$B$6:$Q$49,11,0)</f>
        <v>133.5</v>
      </c>
      <c r="AE44" s="52">
        <f>VLOOKUP($B44,'06.02 с мобил'!$B$6:$AK$50,27,0)/VLOOKUP($B44,'06.02 с мобил'!$B$6:$AK$50,26,0)*AD44</f>
        <v>40.05</v>
      </c>
      <c r="AF44" s="47">
        <f t="shared" si="63"/>
        <v>173.55</v>
      </c>
      <c r="AG44" s="149">
        <f>VLOOKUP($B44,'06.02 с мобил'!$B$6:$AK$50,29,0)</f>
        <v>0</v>
      </c>
      <c r="AH44" s="147">
        <f t="shared" si="64"/>
        <v>173.55</v>
      </c>
      <c r="AI44" s="59">
        <f>VLOOKUP($B44,'06.02 с мобил'!$B$6:$AK$50,30,0)</f>
        <v>0</v>
      </c>
      <c r="AJ44" s="52">
        <f>VLOOKUP($B44,'06.02 с мобил'!$B$6:$AK$50,31,0)</f>
        <v>0</v>
      </c>
      <c r="AK44" s="51">
        <f t="shared" si="65"/>
        <v>0</v>
      </c>
      <c r="AL44" s="52">
        <f>VLOOKUP($B44,'06.02 с мобил'!$B$6:$AK$50,33,0)-VLOOKUP($B44,'ФОТ по мобил.'!$B$6:$Q$49,14,0)</f>
        <v>133.5</v>
      </c>
      <c r="AM44" s="52">
        <f>VLOOKUP($B44,'06.02 с мобил'!$B$6:$AK$50,34,0)/VLOOKUP($B44,'06.02 с мобил'!$B$6:$AK$50,33,0)*AL44</f>
        <v>40.05</v>
      </c>
      <c r="AN44" s="47">
        <f t="shared" si="66"/>
        <v>173.55</v>
      </c>
      <c r="AO44" s="149">
        <f>VLOOKUP($B44,'06.02 с мобил'!$B$6:$AK$50,36,0)</f>
        <v>0</v>
      </c>
      <c r="AP44" s="147">
        <f t="shared" si="67"/>
        <v>173.55</v>
      </c>
      <c r="AQ44" s="59">
        <f>VLOOKUP($B44,'06.02 с мобил'!$B$6:$AK$50,30,0)</f>
        <v>0</v>
      </c>
      <c r="AR44" s="52">
        <f>VLOOKUP($B44,'06.02 с мобил'!$B$6:$AK$50,31,0)</f>
        <v>0</v>
      </c>
      <c r="AS44" s="51">
        <f t="shared" si="68"/>
        <v>0</v>
      </c>
      <c r="AT44" s="52">
        <f>VLOOKUP($B44,'06.02 с мобил'!$B$6:$AK$50,33,0)-VLOOKUP($B44,'ФОТ по мобил.'!$B$6:$Q$49,14,0)</f>
        <v>133.5</v>
      </c>
      <c r="AU44" s="52">
        <f>VLOOKUP($B44,'06.02 с мобил'!$B$6:$AK$50,34,0)/VLOOKUP($B44,'06.02 с мобил'!$B$6:$AK$50,33,0)*AT44</f>
        <v>40.05</v>
      </c>
      <c r="AV44" s="47">
        <f t="shared" si="69"/>
        <v>173.55</v>
      </c>
      <c r="AW44" s="149">
        <f>VLOOKUP($B44,'06.02 с мобил'!$B$6:$AK$50,36,0)</f>
        <v>0</v>
      </c>
      <c r="AX44" s="147">
        <f t="shared" si="70"/>
        <v>173.55</v>
      </c>
      <c r="AY44" s="59">
        <f>VLOOKUP($B44,'06.02 с мобил'!$B$6:$AK$50,30,0)</f>
        <v>0</v>
      </c>
      <c r="AZ44" s="52">
        <f>VLOOKUP($B44,'06.02 с мобил'!$B$6:$AK$50,31,0)</f>
        <v>0</v>
      </c>
      <c r="BA44" s="51">
        <f t="shared" si="71"/>
        <v>0</v>
      </c>
      <c r="BB44" s="52">
        <f>VLOOKUP($B44,'06.02 с мобил'!$B$6:$AK$50,33,0)-VLOOKUP($B44,'ФОТ по мобил.'!$B$6:$Q$49,14,0)</f>
        <v>133.5</v>
      </c>
      <c r="BC44" s="52">
        <f>VLOOKUP($B44,'06.02 с мобил'!$B$6:$AK$50,34,0)/VLOOKUP($B44,'06.02 с мобил'!$B$6:$AK$50,33,0)*BB44</f>
        <v>40.05</v>
      </c>
      <c r="BD44" s="47">
        <f t="shared" si="72"/>
        <v>173.55</v>
      </c>
      <c r="BE44" s="149">
        <f>VLOOKUP($B44,'06.02 с мобил'!$B$6:$AK$50,36,0)</f>
        <v>0</v>
      </c>
      <c r="BF44" s="147">
        <f t="shared" si="73"/>
        <v>173.55</v>
      </c>
    </row>
    <row r="45" spans="1:58" s="3" customFormat="1" ht="18.75" hidden="1" outlineLevel="1">
      <c r="A45" s="162">
        <v>15</v>
      </c>
      <c r="B45" s="32" t="s">
        <v>103</v>
      </c>
      <c r="C45" s="45">
        <f t="shared" si="51"/>
        <v>0</v>
      </c>
      <c r="D45" s="45">
        <f t="shared" si="52"/>
        <v>0</v>
      </c>
      <c r="E45" s="45"/>
      <c r="F45" s="45">
        <f t="shared" si="53"/>
        <v>800.4</v>
      </c>
      <c r="G45" s="45">
        <f t="shared" si="54"/>
        <v>240.12000000000003</v>
      </c>
      <c r="H45" s="47">
        <f t="shared" si="48"/>
        <v>1040.52</v>
      </c>
      <c r="I45" s="148">
        <f t="shared" si="49"/>
        <v>0</v>
      </c>
      <c r="J45" s="147">
        <f t="shared" si="55"/>
        <v>1040.52</v>
      </c>
      <c r="K45" s="139">
        <f>VLOOKUP($B45,'06.02 с мобил'!$B$6:$AK$50,9,0)</f>
        <v>0</v>
      </c>
      <c r="L45" s="45">
        <f>VLOOKUP($B45,'06.02 с мобил'!$B$6:$AK$50,10,0)</f>
        <v>0</v>
      </c>
      <c r="M45" s="51">
        <f t="shared" si="56"/>
        <v>0</v>
      </c>
      <c r="N45" s="60">
        <f>VLOOKUP($B45,'06.02 с мобил'!$B$6:$AK$50,12,0)-VLOOKUP($B45,'ФОТ по мобил.'!$B$6:$Q$49,5,0)</f>
        <v>133.4</v>
      </c>
      <c r="O45" s="52">
        <f>VLOOKUP($B45,'06.02 с мобил'!$B$6:$AK$50,13,0)/VLOOKUP($B45,'06.02 с мобил'!$B$6:$AK$50,12,0)*N45</f>
        <v>40.02</v>
      </c>
      <c r="P45" s="133">
        <f t="shared" si="57"/>
        <v>173.42000000000002</v>
      </c>
      <c r="Q45" s="149">
        <f>VLOOKUP($B45,'06.02 с мобил'!$B$6:$AK$50,15,0)</f>
        <v>0</v>
      </c>
      <c r="R45" s="147">
        <f t="shared" si="58"/>
        <v>173.42000000000002</v>
      </c>
      <c r="S45" s="161">
        <f>VLOOKUP($B45,'06.02 с мобил'!$B$6:$AK$50,16,0)</f>
        <v>0</v>
      </c>
      <c r="T45" s="45">
        <f>VLOOKUP($B45,'06.02 с мобил'!$B$6:$AK$50,17,0)</f>
        <v>0</v>
      </c>
      <c r="U45" s="51">
        <f t="shared" si="59"/>
        <v>0</v>
      </c>
      <c r="V45" s="60">
        <f>VLOOKUP($B45,'06.02 с мобил'!$B$6:$AK$50,19,0)-VLOOKUP($B45,'ФОТ по мобил.'!$B$6:$Q$49,8,0)</f>
        <v>133.4</v>
      </c>
      <c r="W45" s="52">
        <f>VLOOKUP($B45,'06.02 с мобил'!$B$6:$AK$50,20,0)/VLOOKUP($B45,'06.02 с мобил'!$B$6:$AK$50,19,0)*V45</f>
        <v>40.02</v>
      </c>
      <c r="X45" s="47">
        <f t="shared" si="60"/>
        <v>173.42000000000002</v>
      </c>
      <c r="Y45" s="149">
        <f>VLOOKUP($B45,'06.02 с мобил'!$B$6:$AK$50,22,0)</f>
        <v>0</v>
      </c>
      <c r="Z45" s="147">
        <f t="shared" si="61"/>
        <v>173.42000000000002</v>
      </c>
      <c r="AA45" s="139">
        <f>VLOOKUP($B45,'06.02 с мобил'!$B$6:$AK$50,23,0)</f>
        <v>0</v>
      </c>
      <c r="AB45" s="45">
        <f>VLOOKUP($B45,'06.02 с мобил'!$B$6:$AK$50,24,0)</f>
        <v>0</v>
      </c>
      <c r="AC45" s="51">
        <f t="shared" si="62"/>
        <v>0</v>
      </c>
      <c r="AD45" s="60">
        <f>VLOOKUP($B45,'06.02 с мобил'!$B$6:$AK$50,26,0)-VLOOKUP($B45,'ФОТ по мобил.'!$B$6:$Q$49,11,0)</f>
        <v>133.4</v>
      </c>
      <c r="AE45" s="52">
        <f>VLOOKUP($B45,'06.02 с мобил'!$B$6:$AK$50,27,0)/VLOOKUP($B45,'06.02 с мобил'!$B$6:$AK$50,26,0)*AD45</f>
        <v>40.02</v>
      </c>
      <c r="AF45" s="47">
        <f t="shared" si="63"/>
        <v>173.42000000000002</v>
      </c>
      <c r="AG45" s="149">
        <f>VLOOKUP($B45,'06.02 с мобил'!$B$6:$AK$50,29,0)</f>
        <v>0</v>
      </c>
      <c r="AH45" s="147">
        <f t="shared" si="64"/>
        <v>173.42000000000002</v>
      </c>
      <c r="AI45" s="166">
        <f>VLOOKUP($B45,'06.02 с мобил'!$B$6:$AK$50,30,0)</f>
        <v>0</v>
      </c>
      <c r="AJ45" s="52">
        <f>VLOOKUP($B45,'06.02 с мобил'!$B$6:$AK$50,31,0)</f>
        <v>0</v>
      </c>
      <c r="AK45" s="51">
        <f t="shared" si="65"/>
        <v>0</v>
      </c>
      <c r="AL45" s="60">
        <f>VLOOKUP($B45,'06.02 с мобил'!$B$6:$AK$50,33,0)-VLOOKUP($B45,'ФОТ по мобил.'!$B$6:$Q$49,14,0)</f>
        <v>133.4</v>
      </c>
      <c r="AM45" s="52">
        <f>VLOOKUP($B45,'06.02 с мобил'!$B$6:$AK$50,34,0)/VLOOKUP($B45,'06.02 с мобил'!$B$6:$AK$50,33,0)*AL45</f>
        <v>40.02</v>
      </c>
      <c r="AN45" s="47">
        <f t="shared" si="66"/>
        <v>173.42000000000002</v>
      </c>
      <c r="AO45" s="149">
        <f>VLOOKUP($B45,'06.02 с мобил'!$B$6:$AK$50,36,0)</f>
        <v>0</v>
      </c>
      <c r="AP45" s="147">
        <f t="shared" si="67"/>
        <v>173.42000000000002</v>
      </c>
      <c r="AQ45" s="166">
        <f>VLOOKUP($B45,'06.02 с мобил'!$B$6:$AK$50,30,0)</f>
        <v>0</v>
      </c>
      <c r="AR45" s="52">
        <f>VLOOKUP($B45,'06.02 с мобил'!$B$6:$AK$50,31,0)</f>
        <v>0</v>
      </c>
      <c r="AS45" s="51">
        <f t="shared" si="68"/>
        <v>0</v>
      </c>
      <c r="AT45" s="60">
        <f>VLOOKUP($B45,'06.02 с мобил'!$B$6:$AK$50,33,0)-VLOOKUP($B45,'ФОТ по мобил.'!$B$6:$Q$49,14,0)</f>
        <v>133.4</v>
      </c>
      <c r="AU45" s="52">
        <f>VLOOKUP($B45,'06.02 с мобил'!$B$6:$AK$50,34,0)/VLOOKUP($B45,'06.02 с мобил'!$B$6:$AK$50,33,0)*AT45</f>
        <v>40.02</v>
      </c>
      <c r="AV45" s="47">
        <f t="shared" si="69"/>
        <v>173.42000000000002</v>
      </c>
      <c r="AW45" s="149">
        <f>VLOOKUP($B45,'06.02 с мобил'!$B$6:$AK$50,36,0)</f>
        <v>0</v>
      </c>
      <c r="AX45" s="147">
        <f t="shared" si="70"/>
        <v>173.42000000000002</v>
      </c>
      <c r="AY45" s="166">
        <f>VLOOKUP($B45,'06.02 с мобил'!$B$6:$AK$50,30,0)</f>
        <v>0</v>
      </c>
      <c r="AZ45" s="52">
        <f>VLOOKUP($B45,'06.02 с мобил'!$B$6:$AK$50,31,0)</f>
        <v>0</v>
      </c>
      <c r="BA45" s="51">
        <f t="shared" si="71"/>
        <v>0</v>
      </c>
      <c r="BB45" s="60">
        <f>VLOOKUP($B45,'06.02 с мобил'!$B$6:$AK$50,33,0)-VLOOKUP($B45,'ФОТ по мобил.'!$B$6:$Q$49,14,0)</f>
        <v>133.4</v>
      </c>
      <c r="BC45" s="52">
        <f>VLOOKUP($B45,'06.02 с мобил'!$B$6:$AK$50,34,0)/VLOOKUP($B45,'06.02 с мобил'!$B$6:$AK$50,33,0)*BB45</f>
        <v>40.02</v>
      </c>
      <c r="BD45" s="47">
        <f t="shared" si="72"/>
        <v>173.42000000000002</v>
      </c>
      <c r="BE45" s="149">
        <f>VLOOKUP($B45,'06.02 с мобил'!$B$6:$AK$50,36,0)</f>
        <v>0</v>
      </c>
      <c r="BF45" s="147">
        <f t="shared" si="73"/>
        <v>173.42000000000002</v>
      </c>
    </row>
    <row r="46" spans="1:58" s="3" customFormat="1" ht="18.75" hidden="1" outlineLevel="1">
      <c r="A46" s="162">
        <v>16</v>
      </c>
      <c r="B46" s="32" t="s">
        <v>104</v>
      </c>
      <c r="C46" s="45">
        <f t="shared" si="51"/>
        <v>0</v>
      </c>
      <c r="D46" s="45">
        <f t="shared" si="52"/>
        <v>0</v>
      </c>
      <c r="E46" s="45"/>
      <c r="F46" s="45">
        <f t="shared" si="53"/>
        <v>745.9</v>
      </c>
      <c r="G46" s="45">
        <f t="shared" si="54"/>
        <v>223.76999999999995</v>
      </c>
      <c r="H46" s="47">
        <f t="shared" si="48"/>
        <v>969.67</v>
      </c>
      <c r="I46" s="148">
        <f t="shared" si="49"/>
        <v>0</v>
      </c>
      <c r="J46" s="147">
        <f t="shared" si="55"/>
        <v>969.67</v>
      </c>
      <c r="K46" s="139">
        <f>VLOOKUP($B46,'06.02 с мобил'!$B$6:$AK$50,9,0)</f>
        <v>0</v>
      </c>
      <c r="L46" s="45">
        <f>VLOOKUP($B46,'06.02 с мобил'!$B$6:$AK$50,10,0)</f>
        <v>0</v>
      </c>
      <c r="M46" s="51">
        <f t="shared" si="56"/>
        <v>0</v>
      </c>
      <c r="N46" s="60">
        <f>VLOOKUP($B46,'06.02 с мобил'!$B$6:$AK$50,12,0)-VLOOKUP($B46,'ФОТ по мобил.'!$B$6:$Q$49,5,0)</f>
        <v>125.9</v>
      </c>
      <c r="O46" s="52">
        <f>VLOOKUP($B46,'06.02 с мобил'!$B$6:$AK$50,13,0)/VLOOKUP($B46,'06.02 с мобил'!$B$6:$AK$50,12,0)*N46</f>
        <v>37.77</v>
      </c>
      <c r="P46" s="133">
        <f t="shared" si="57"/>
        <v>163.67000000000002</v>
      </c>
      <c r="Q46" s="149">
        <f>VLOOKUP($B46,'06.02 с мобил'!$B$6:$AK$50,15,0)</f>
        <v>0</v>
      </c>
      <c r="R46" s="147">
        <f t="shared" si="58"/>
        <v>163.67000000000002</v>
      </c>
      <c r="S46" s="161">
        <f>VLOOKUP($B46,'06.02 с мобил'!$B$6:$AK$50,16,0)</f>
        <v>0</v>
      </c>
      <c r="T46" s="45">
        <f>VLOOKUP($B46,'06.02 с мобил'!$B$6:$AK$50,17,0)</f>
        <v>0</v>
      </c>
      <c r="U46" s="51">
        <f t="shared" si="59"/>
        <v>0</v>
      </c>
      <c r="V46" s="60">
        <f>VLOOKUP($B46,'06.02 с мобил'!$B$6:$AK$50,19,0)-VLOOKUP($B46,'ФОТ по мобил.'!$B$6:$Q$49,8,0)</f>
        <v>124</v>
      </c>
      <c r="W46" s="52">
        <f>VLOOKUP($B46,'06.02 с мобил'!$B$6:$AK$50,20,0)/VLOOKUP($B46,'06.02 с мобил'!$B$6:$AK$50,19,0)*V46</f>
        <v>37.199999999999996</v>
      </c>
      <c r="X46" s="47">
        <f t="shared" si="60"/>
        <v>161.2</v>
      </c>
      <c r="Y46" s="149">
        <f>VLOOKUP($B46,'06.02 с мобил'!$B$6:$AK$50,22,0)</f>
        <v>0</v>
      </c>
      <c r="Z46" s="147">
        <f t="shared" si="61"/>
        <v>161.2</v>
      </c>
      <c r="AA46" s="139">
        <f>VLOOKUP($B46,'06.02 с мобил'!$B$6:$AK$50,23,0)</f>
        <v>0</v>
      </c>
      <c r="AB46" s="45">
        <f>VLOOKUP($B46,'06.02 с мобил'!$B$6:$AK$50,24,0)</f>
        <v>0</v>
      </c>
      <c r="AC46" s="51">
        <f t="shared" si="62"/>
        <v>0</v>
      </c>
      <c r="AD46" s="60">
        <f>VLOOKUP($B46,'06.02 с мобил'!$B$6:$AK$50,26,0)-VLOOKUP($B46,'ФОТ по мобил.'!$B$6:$Q$49,11,0)</f>
        <v>124</v>
      </c>
      <c r="AE46" s="52">
        <f>VLOOKUP($B46,'06.02 с мобил'!$B$6:$AK$50,27,0)/VLOOKUP($B46,'06.02 с мобил'!$B$6:$AK$50,26,0)*AD46</f>
        <v>37.199999999999996</v>
      </c>
      <c r="AF46" s="47">
        <f t="shared" si="63"/>
        <v>161.2</v>
      </c>
      <c r="AG46" s="149">
        <f>VLOOKUP($B46,'06.02 с мобил'!$B$6:$AK$50,29,0)</f>
        <v>0</v>
      </c>
      <c r="AH46" s="147">
        <f t="shared" si="64"/>
        <v>161.2</v>
      </c>
      <c r="AI46" s="166">
        <f>VLOOKUP($B46,'06.02 с мобил'!$B$6:$AK$50,30,0)</f>
        <v>0</v>
      </c>
      <c r="AJ46" s="52">
        <f>VLOOKUP($B46,'06.02 с мобил'!$B$6:$AK$50,31,0)</f>
        <v>0</v>
      </c>
      <c r="AK46" s="51">
        <f t="shared" si="65"/>
        <v>0</v>
      </c>
      <c r="AL46" s="60">
        <f>VLOOKUP($B46,'06.02 с мобил'!$B$6:$AK$50,33,0)-VLOOKUP($B46,'ФОТ по мобил.'!$B$6:$Q$49,14,0)</f>
        <v>124</v>
      </c>
      <c r="AM46" s="52">
        <f>VLOOKUP($B46,'06.02 с мобил'!$B$6:$AK$50,34,0)/VLOOKUP($B46,'06.02 с мобил'!$B$6:$AK$50,33,0)*AL46</f>
        <v>37.199999999999996</v>
      </c>
      <c r="AN46" s="47">
        <f t="shared" si="66"/>
        <v>161.2</v>
      </c>
      <c r="AO46" s="149">
        <f>VLOOKUP($B46,'06.02 с мобил'!$B$6:$AK$50,36,0)</f>
        <v>0</v>
      </c>
      <c r="AP46" s="147">
        <f t="shared" si="67"/>
        <v>161.2</v>
      </c>
      <c r="AQ46" s="166">
        <f>VLOOKUP($B46,'06.02 с мобил'!$B$6:$AK$50,30,0)</f>
        <v>0</v>
      </c>
      <c r="AR46" s="52">
        <f>VLOOKUP($B46,'06.02 с мобил'!$B$6:$AK$50,31,0)</f>
        <v>0</v>
      </c>
      <c r="AS46" s="51">
        <f t="shared" si="68"/>
        <v>0</v>
      </c>
      <c r="AT46" s="60">
        <f>VLOOKUP($B46,'06.02 с мобил'!$B$6:$AK$50,33,0)-VLOOKUP($B46,'ФОТ по мобил.'!$B$6:$Q$49,14,0)</f>
        <v>124</v>
      </c>
      <c r="AU46" s="52">
        <f>VLOOKUP($B46,'06.02 с мобил'!$B$6:$AK$50,34,0)/VLOOKUP($B46,'06.02 с мобил'!$B$6:$AK$50,33,0)*AT46</f>
        <v>37.199999999999996</v>
      </c>
      <c r="AV46" s="47">
        <f t="shared" si="69"/>
        <v>161.2</v>
      </c>
      <c r="AW46" s="149">
        <f>VLOOKUP($B46,'06.02 с мобил'!$B$6:$AK$50,36,0)</f>
        <v>0</v>
      </c>
      <c r="AX46" s="147">
        <f t="shared" si="70"/>
        <v>161.2</v>
      </c>
      <c r="AY46" s="166">
        <f>VLOOKUP($B46,'06.02 с мобил'!$B$6:$AK$50,30,0)</f>
        <v>0</v>
      </c>
      <c r="AZ46" s="52">
        <f>VLOOKUP($B46,'06.02 с мобил'!$B$6:$AK$50,31,0)</f>
        <v>0</v>
      </c>
      <c r="BA46" s="51">
        <f t="shared" si="71"/>
        <v>0</v>
      </c>
      <c r="BB46" s="60">
        <f>VLOOKUP($B46,'06.02 с мобил'!$B$6:$AK$50,33,0)-VLOOKUP($B46,'ФОТ по мобил.'!$B$6:$Q$49,14,0)</f>
        <v>124</v>
      </c>
      <c r="BC46" s="52">
        <f>VLOOKUP($B46,'06.02 с мобил'!$B$6:$AK$50,34,0)/VLOOKUP($B46,'06.02 с мобил'!$B$6:$AK$50,33,0)*BB46</f>
        <v>37.199999999999996</v>
      </c>
      <c r="BD46" s="47">
        <f t="shared" si="72"/>
        <v>161.2</v>
      </c>
      <c r="BE46" s="149">
        <f>VLOOKUP($B46,'06.02 с мобил'!$B$6:$AK$50,36,0)</f>
        <v>0</v>
      </c>
      <c r="BF46" s="147">
        <f t="shared" si="73"/>
        <v>161.2</v>
      </c>
    </row>
    <row r="47" spans="1:58" ht="24" customHeight="1" collapsed="1">
      <c r="A47" s="154" t="s">
        <v>2</v>
      </c>
      <c r="B47" s="38" t="s">
        <v>75</v>
      </c>
      <c r="C47" s="49">
        <f>K47+S47+AA47+AI47+AQ47+AY47</f>
        <v>0</v>
      </c>
      <c r="D47" s="49">
        <f t="shared" si="52"/>
        <v>0</v>
      </c>
      <c r="E47" s="49"/>
      <c r="F47" s="49">
        <f aca="true" t="shared" si="74" ref="F47:G50">N47+V47+AD47+AL47+AT47+BB47</f>
        <v>242749.10237504198</v>
      </c>
      <c r="G47" s="49">
        <f t="shared" si="74"/>
        <v>72824.73071251261</v>
      </c>
      <c r="H47" s="58">
        <f>SUM(F47:G47)</f>
        <v>315573.8330875546</v>
      </c>
      <c r="I47" s="127">
        <f>Q47+Y47+AG47+AO47</f>
        <v>0</v>
      </c>
      <c r="J47" s="145">
        <f t="shared" si="55"/>
        <v>315573.8330875546</v>
      </c>
      <c r="K47" s="118">
        <f>VLOOKUP($B47,'06.02 с мобил'!$B$6:$AK$50,9,0)</f>
        <v>0</v>
      </c>
      <c r="L47" s="49">
        <f>VLOOKUP($B47,'06.02 с мобил'!$B$6:$AK$50,10,0)</f>
        <v>0</v>
      </c>
      <c r="M47" s="49">
        <f>_xlfn.IFERROR(L47/K47*100,0)</f>
        <v>0</v>
      </c>
      <c r="N47" s="49">
        <f>VLOOKUP($B47,'06.02 с мобил'!$B$6:$AK$50,12,0)-VLOOKUP($B47,'ФОТ по мобил.'!$B$6:$Q$49,5,0)</f>
        <v>40495.2625</v>
      </c>
      <c r="O47" s="49">
        <f>VLOOKUP($B47,'06.02 с мобил'!$B$6:$AK$50,13,0)/VLOOKUP($B47,'06.02 с мобил'!$B$6:$AK$50,12,0)*N47</f>
        <v>12148.578749999999</v>
      </c>
      <c r="P47" s="49">
        <f t="shared" si="57"/>
        <v>52643.84125</v>
      </c>
      <c r="Q47" s="127">
        <f>VLOOKUP($B47,'06.02 с мобил'!$B$6:$AK$50,15,0)</f>
        <v>0</v>
      </c>
      <c r="R47" s="145">
        <f t="shared" si="58"/>
        <v>52643.84125</v>
      </c>
      <c r="S47" s="164">
        <f>VLOOKUP($B47,'06.02 с мобил'!$B$6:$AK$50,16,0)</f>
        <v>0</v>
      </c>
      <c r="T47" s="49">
        <f>VLOOKUP($B47,'06.02 с мобил'!$B$6:$AK$50,17,0)</f>
        <v>0</v>
      </c>
      <c r="U47" s="49">
        <f t="shared" si="59"/>
        <v>0</v>
      </c>
      <c r="V47" s="49">
        <f>VLOOKUP($B47,'06.02 с мобил'!$B$6:$AK$50,19,0)-VLOOKUP($B47,'ФОТ по мобил.'!$B$6:$Q$49,8,0)</f>
        <v>38237.719973277315</v>
      </c>
      <c r="W47" s="49">
        <f>VLOOKUP($B47,'06.02 с мобил'!$B$6:$AK$50,20,0)/VLOOKUP($B47,'06.02 с мобил'!$B$6:$AK$50,19,0)*V47</f>
        <v>11471.315991983194</v>
      </c>
      <c r="X47" s="49">
        <f t="shared" si="60"/>
        <v>49709.03596526051</v>
      </c>
      <c r="Y47" s="127">
        <f>VLOOKUP($B47,'06.02 с мобил'!$B$6:$AK$50,22,0)</f>
        <v>0</v>
      </c>
      <c r="Z47" s="145">
        <f t="shared" si="61"/>
        <v>49709.03596526051</v>
      </c>
      <c r="AA47" s="118">
        <f>VLOOKUP($B47,'06.02 с мобил'!$B$6:$AK$50,23,0)</f>
        <v>0</v>
      </c>
      <c r="AB47" s="49">
        <f>VLOOKUP($B47,'06.02 с мобил'!$B$6:$AK$50,24,0)</f>
        <v>0</v>
      </c>
      <c r="AC47" s="49">
        <f t="shared" si="62"/>
        <v>0</v>
      </c>
      <c r="AD47" s="49">
        <f>VLOOKUP($B47,'06.02 с мобил'!$B$6:$AK$50,26,0)-VLOOKUP($B47,'ФОТ по мобил.'!$B$6:$Q$49,11,0)</f>
        <v>43056.138529243704</v>
      </c>
      <c r="AE47" s="49">
        <f>VLOOKUP($B47,'06.02 с мобил'!$B$6:$AK$50,27,0)/VLOOKUP($B47,'06.02 с мобил'!$B$6:$AK$50,26,0)*AD47</f>
        <v>12916.84155877311</v>
      </c>
      <c r="AF47" s="49">
        <f t="shared" si="63"/>
        <v>55972.98008801682</v>
      </c>
      <c r="AG47" s="127">
        <f>VLOOKUP($B47,'06.02 с мобил'!$B$6:$AK$50,29,0)</f>
        <v>0</v>
      </c>
      <c r="AH47" s="145">
        <f t="shared" si="64"/>
        <v>55972.98008801682</v>
      </c>
      <c r="AI47" s="164">
        <f>VLOOKUP($B47,'06.02 с мобил'!$B$6:$AK$50,30,0)</f>
        <v>0</v>
      </c>
      <c r="AJ47" s="49">
        <f>VLOOKUP($B47,'06.02 с мобил'!$B$6:$AK$50,31,0)</f>
        <v>0</v>
      </c>
      <c r="AK47" s="49">
        <f t="shared" si="65"/>
        <v>0</v>
      </c>
      <c r="AL47" s="49">
        <f>VLOOKUP($B47,'06.02 с мобил'!$B$6:$AK$50,33,0)-VLOOKUP($B47,'ФОТ по мобил.'!$B$6:$Q$49,14,0)</f>
        <v>40319.99379084034</v>
      </c>
      <c r="AM47" s="49">
        <f>VLOOKUP($B47,'06.02 с мобил'!$B$6:$AK$50,34,0)/VLOOKUP($B47,'06.02 с мобил'!$B$6:$AK$50,33,0)*AL47</f>
        <v>12095.998137252102</v>
      </c>
      <c r="AN47" s="49">
        <f t="shared" si="66"/>
        <v>52415.99192809244</v>
      </c>
      <c r="AO47" s="127">
        <f>VLOOKUP($B47,'06.02 с мобил'!$B$6:$AK$50,36,0)</f>
        <v>0</v>
      </c>
      <c r="AP47" s="145">
        <f t="shared" si="67"/>
        <v>52415.99192809244</v>
      </c>
      <c r="AQ47" s="164">
        <f>VLOOKUP($B47,'06.02 с мобил'!$B$6:$AK$50,30,0)</f>
        <v>0</v>
      </c>
      <c r="AR47" s="49">
        <f>VLOOKUP($B47,'06.02 с мобил'!$B$6:$AK$50,31,0)</f>
        <v>0</v>
      </c>
      <c r="AS47" s="49">
        <f t="shared" si="68"/>
        <v>0</v>
      </c>
      <c r="AT47" s="49">
        <f>VLOOKUP($B47,'06.02 с мобил'!$B$6:$AK$50,33,0)-VLOOKUP($B47,'ФОТ по мобил.'!$B$6:$Q$49,14,0)</f>
        <v>40319.99379084034</v>
      </c>
      <c r="AU47" s="49">
        <f>VLOOKUP($B47,'06.02 с мобил'!$B$6:$AK$50,34,0)/VLOOKUP($B47,'06.02 с мобил'!$B$6:$AK$50,33,0)*AT47</f>
        <v>12095.998137252102</v>
      </c>
      <c r="AV47" s="49">
        <f t="shared" si="69"/>
        <v>52415.99192809244</v>
      </c>
      <c r="AW47" s="127">
        <f>VLOOKUP($B47,'06.02 с мобил'!$B$6:$AK$50,36,0)</f>
        <v>0</v>
      </c>
      <c r="AX47" s="145">
        <f t="shared" si="70"/>
        <v>52415.99192809244</v>
      </c>
      <c r="AY47" s="164">
        <f>VLOOKUP($B47,'06.02 с мобил'!$B$6:$AK$50,30,0)</f>
        <v>0</v>
      </c>
      <c r="AZ47" s="49">
        <f>VLOOKUP($B47,'06.02 с мобил'!$B$6:$AK$50,31,0)</f>
        <v>0</v>
      </c>
      <c r="BA47" s="49">
        <f t="shared" si="71"/>
        <v>0</v>
      </c>
      <c r="BB47" s="49">
        <f>VLOOKUP($B47,'06.02 с мобил'!$B$6:$AK$50,33,0)-VLOOKUP($B47,'ФОТ по мобил.'!$B$6:$Q$49,14,0)</f>
        <v>40319.99379084034</v>
      </c>
      <c r="BC47" s="49">
        <f>VLOOKUP($B47,'06.02 с мобил'!$B$6:$AK$50,34,0)/VLOOKUP($B47,'06.02 с мобил'!$B$6:$AK$50,33,0)*BB47</f>
        <v>12095.998137252102</v>
      </c>
      <c r="BD47" s="49">
        <f t="shared" si="72"/>
        <v>52415.99192809244</v>
      </c>
      <c r="BE47" s="127">
        <f>VLOOKUP($B47,'06.02 с мобил'!$B$6:$AK$50,36,0)</f>
        <v>0</v>
      </c>
      <c r="BF47" s="145">
        <f t="shared" si="73"/>
        <v>52415.99192809244</v>
      </c>
    </row>
    <row r="48" spans="1:58" ht="15.75">
      <c r="A48" s="154" t="s">
        <v>3</v>
      </c>
      <c r="B48" s="38" t="s">
        <v>77</v>
      </c>
      <c r="C48" s="49">
        <f>K48+S48+AA48+AI48+AQ48+AY48</f>
        <v>687.8</v>
      </c>
      <c r="D48" s="49">
        <f t="shared" si="52"/>
        <v>336.945</v>
      </c>
      <c r="E48" s="49">
        <f>D48/C48*100</f>
        <v>48.98880488514103</v>
      </c>
      <c r="F48" s="49">
        <f t="shared" si="74"/>
        <v>927029.5</v>
      </c>
      <c r="G48" s="49">
        <f t="shared" si="74"/>
        <v>356906.35750000004</v>
      </c>
      <c r="H48" s="58">
        <f>SUM(F48:G48)</f>
        <v>1283935.8575</v>
      </c>
      <c r="I48" s="127">
        <f>Q48+Y48+AG48+AO48+AW48+BE48</f>
        <v>1016134.0108888888</v>
      </c>
      <c r="J48" s="145">
        <f t="shared" si="55"/>
        <v>267801.8466111111</v>
      </c>
      <c r="K48" s="118">
        <f>VLOOKUP($B48,'06.02 с мобил'!$B$6:$AK$50,9,0)</f>
        <v>80</v>
      </c>
      <c r="L48" s="49">
        <f>VLOOKUP($B48,'06.02 с мобил'!$B$6:$AK$50,10,0)</f>
        <v>84</v>
      </c>
      <c r="M48" s="49">
        <f>_xlfn.IFERROR(L48/K48*100,0)</f>
        <v>105</v>
      </c>
      <c r="N48" s="49">
        <f>VLOOKUP($B48,'06.02 с мобил'!$B$6:$AK$50,12,0)-VLOOKUP($B48,'ФОТ по мобил.'!$B$6:$Q$49,5,0)</f>
        <v>149880.9</v>
      </c>
      <c r="O48" s="49">
        <f>VLOOKUP($B48,'06.02 с мобил'!$B$6:$AK$50,13,0)/VLOOKUP($B48,'06.02 с мобил'!$B$6:$AK$50,12,0)*N48</f>
        <v>57704.1465</v>
      </c>
      <c r="P48" s="49">
        <f t="shared" si="57"/>
        <v>207585.0465</v>
      </c>
      <c r="Q48" s="127">
        <f>VLOOKUP($B48,'06.02 с мобил'!$B$6:$AK$50,15,0)</f>
        <v>168798.5</v>
      </c>
      <c r="R48" s="145">
        <f t="shared" si="58"/>
        <v>38786.5465</v>
      </c>
      <c r="S48" s="164">
        <f>VLOOKUP($B48,'06.02 с мобил'!$B$6:$AK$50,16,0)</f>
        <v>90.5</v>
      </c>
      <c r="T48" s="49">
        <f>VLOOKUP($B48,'06.02 с мобил'!$B$6:$AK$50,17,0)</f>
        <v>0</v>
      </c>
      <c r="U48" s="49">
        <f t="shared" si="59"/>
        <v>0</v>
      </c>
      <c r="V48" s="49">
        <f>VLOOKUP($B48,'06.02 с мобил'!$B$6:$AK$50,19,0)-VLOOKUP($B48,'ФОТ по мобил.'!$B$6:$Q$49,8,0)</f>
        <v>119772.5</v>
      </c>
      <c r="W48" s="49">
        <f>VLOOKUP($B48,'06.02 с мобил'!$B$6:$AK$50,20,0)/VLOOKUP($B48,'06.02 с мобил'!$B$6:$AK$50,19,0)*V48</f>
        <v>46112.4125</v>
      </c>
      <c r="X48" s="49">
        <f t="shared" si="60"/>
        <v>165884.9125</v>
      </c>
      <c r="Y48" s="127">
        <f>VLOOKUP($B48,'06.02 с мобил'!$B$6:$AK$50,22,0)</f>
        <v>0</v>
      </c>
      <c r="Z48" s="145">
        <f t="shared" si="61"/>
        <v>165884.9125</v>
      </c>
      <c r="AA48" s="118">
        <f>VLOOKUP($B48,'06.02 с мобил'!$B$6:$AK$50,23,0)</f>
        <v>102.7</v>
      </c>
      <c r="AB48" s="49">
        <f>VLOOKUP($B48,'06.02 с мобил'!$B$6:$AK$50,24,0)</f>
        <v>107.83500000000001</v>
      </c>
      <c r="AC48" s="49">
        <f t="shared" si="62"/>
        <v>105</v>
      </c>
      <c r="AD48" s="49">
        <f>VLOOKUP($B48,'06.02 с мобил'!$B$6:$AK$50,26,0)-VLOOKUP($B48,'ФОТ по мобил.'!$B$6:$Q$49,11,0)</f>
        <v>163767.5</v>
      </c>
      <c r="AE48" s="49">
        <f>VLOOKUP($B48,'06.02 с мобил'!$B$6:$AK$50,27,0)/VLOOKUP($B48,'06.02 с мобил'!$B$6:$AK$50,26,0)*AD48</f>
        <v>63050.4875</v>
      </c>
      <c r="AF48" s="49">
        <f t="shared" si="63"/>
        <v>226817.9875</v>
      </c>
      <c r="AG48" s="127">
        <f>VLOOKUP($B48,'06.02 с мобил'!$B$6:$AK$50,29,0)</f>
        <v>208633.01155555557</v>
      </c>
      <c r="AH48" s="145">
        <f t="shared" si="64"/>
        <v>18184.97594444442</v>
      </c>
      <c r="AI48" s="164">
        <f>VLOOKUP($B48,'06.02 с мобил'!$B$6:$AK$50,30,0)</f>
        <v>138.2</v>
      </c>
      <c r="AJ48" s="49">
        <f>VLOOKUP($B48,'06.02 с мобил'!$B$6:$AK$50,31,0)</f>
        <v>145.10999999999999</v>
      </c>
      <c r="AK48" s="49">
        <f t="shared" si="65"/>
        <v>105</v>
      </c>
      <c r="AL48" s="49">
        <f>VLOOKUP($B48,'06.02 с мобил'!$B$6:$AK$50,33,0)-VLOOKUP($B48,'ФОТ по мобил.'!$B$6:$Q$49,14,0)</f>
        <v>164536.2</v>
      </c>
      <c r="AM48" s="49">
        <f>VLOOKUP($B48,'06.02 с мобил'!$B$6:$AK$50,34,0)/VLOOKUP($B48,'06.02 с мобил'!$B$6:$AK$50,33,0)*AL48</f>
        <v>63346.437000000005</v>
      </c>
      <c r="AN48" s="49">
        <f t="shared" si="66"/>
        <v>227882.63700000002</v>
      </c>
      <c r="AO48" s="127">
        <f>VLOOKUP($B48,'06.02 с мобил'!$B$6:$AK$50,36,0)</f>
        <v>212900.8331111111</v>
      </c>
      <c r="AP48" s="145">
        <f t="shared" si="67"/>
        <v>14981.803888888913</v>
      </c>
      <c r="AQ48" s="164">
        <f>VLOOKUP($B48,'06.02 с мобил'!$B$6:$AK$50,30,0)</f>
        <v>138.2</v>
      </c>
      <c r="AR48" s="49">
        <f>VLOOKUP($B48,'06.02 с мобил'!$B$6:$AK$50,31,0)</f>
        <v>145.10999999999999</v>
      </c>
      <c r="AS48" s="49">
        <f t="shared" si="68"/>
        <v>105</v>
      </c>
      <c r="AT48" s="49">
        <f>VLOOKUP($B48,'06.02 с мобил'!$B$6:$AK$50,33,0)-VLOOKUP($B48,'ФОТ по мобил.'!$B$6:$Q$49,14,0)</f>
        <v>164536.2</v>
      </c>
      <c r="AU48" s="49">
        <f>VLOOKUP($B48,'06.02 с мобил'!$B$6:$AK$50,34,0)/VLOOKUP($B48,'06.02 с мобил'!$B$6:$AK$50,33,0)*AT48</f>
        <v>63346.437000000005</v>
      </c>
      <c r="AV48" s="49">
        <f t="shared" si="69"/>
        <v>227882.63700000002</v>
      </c>
      <c r="AW48" s="127">
        <f>VLOOKUP($B48,'06.02 с мобил'!$B$6:$AK$50,36,0)</f>
        <v>212900.8331111111</v>
      </c>
      <c r="AX48" s="145">
        <f t="shared" si="70"/>
        <v>14981.803888888913</v>
      </c>
      <c r="AY48" s="164">
        <f>VLOOKUP($B48,'06.02 с мобил'!$B$6:$AK$50,30,0)</f>
        <v>138.2</v>
      </c>
      <c r="AZ48" s="49">
        <f>VLOOKUP($B48,'06.02 с мобил'!$B$6:$AK$50,31,0)</f>
        <v>145.10999999999999</v>
      </c>
      <c r="BA48" s="49">
        <f t="shared" si="71"/>
        <v>105</v>
      </c>
      <c r="BB48" s="49">
        <f>VLOOKUP($B48,'06.02 с мобил'!$B$6:$AK$50,33,0)-VLOOKUP($B48,'ФОТ по мобил.'!$B$6:$Q$49,14,0)</f>
        <v>164536.2</v>
      </c>
      <c r="BC48" s="49">
        <f>VLOOKUP($B48,'06.02 с мобил'!$B$6:$AK$50,34,0)/VLOOKUP($B48,'06.02 с мобил'!$B$6:$AK$50,33,0)*BB48</f>
        <v>63346.437000000005</v>
      </c>
      <c r="BD48" s="49">
        <f t="shared" si="72"/>
        <v>227882.63700000002</v>
      </c>
      <c r="BE48" s="127">
        <f>VLOOKUP($B48,'06.02 с мобил'!$B$6:$AK$50,36,0)</f>
        <v>212900.8331111111</v>
      </c>
      <c r="BF48" s="145">
        <f t="shared" si="73"/>
        <v>14981.803888888913</v>
      </c>
    </row>
    <row r="49" spans="1:58" ht="22.5" customHeight="1">
      <c r="A49" s="154" t="s">
        <v>29</v>
      </c>
      <c r="B49" s="39" t="s">
        <v>61</v>
      </c>
      <c r="C49" s="49">
        <f>K49+S49+AA49+AI49+AQ49+AY49</f>
        <v>111.2</v>
      </c>
      <c r="D49" s="49">
        <f t="shared" si="52"/>
        <v>40.7</v>
      </c>
      <c r="E49" s="49">
        <f>D49/C49*100</f>
        <v>36.60071942446043</v>
      </c>
      <c r="F49" s="49">
        <f t="shared" si="74"/>
        <v>53920</v>
      </c>
      <c r="G49" s="49">
        <f t="shared" si="74"/>
        <v>16815.3</v>
      </c>
      <c r="H49" s="58">
        <f>SUM(F49:G49)</f>
        <v>70735.3</v>
      </c>
      <c r="I49" s="127">
        <f>Q49+Y49+AG49+AO49</f>
        <v>0</v>
      </c>
      <c r="J49" s="145">
        <f t="shared" si="55"/>
        <v>70735.3</v>
      </c>
      <c r="K49" s="118">
        <f>VLOOKUP($B49,'06.02 с мобил'!$B$6:$AK$50,9,0)</f>
        <v>18</v>
      </c>
      <c r="L49" s="49">
        <f>VLOOKUP($B49,'06.02 с мобил'!$B$6:$AK$50,10,0)</f>
        <v>11.2</v>
      </c>
      <c r="M49" s="49">
        <f>_xlfn.IFERROR(L49/K49*100,0)</f>
        <v>62.22222222222222</v>
      </c>
      <c r="N49" s="49">
        <f>VLOOKUP($B49,'06.02 с мобил'!$B$6:$AK$50,12,0)-VLOOKUP($B49,'ФОТ по мобил.'!$B$6:$Q$49,5,0)</f>
        <v>7085.6</v>
      </c>
      <c r="O49" s="49">
        <f>VLOOKUP($B49,'06.02 с мобил'!$B$6:$AK$50,13,0)/VLOOKUP($B49,'06.02 с мобил'!$B$6:$AK$50,12,0)*N49</f>
        <v>2296.8</v>
      </c>
      <c r="P49" s="49">
        <f t="shared" si="57"/>
        <v>9382.400000000001</v>
      </c>
      <c r="Q49" s="127">
        <f>VLOOKUP($B49,'06.02 с мобил'!$B$6:$AK$50,15,0)</f>
        <v>0</v>
      </c>
      <c r="R49" s="145">
        <f t="shared" si="58"/>
        <v>9382.400000000001</v>
      </c>
      <c r="S49" s="164">
        <f>VLOOKUP($B49,'06.02 с мобил'!$B$6:$AK$50,16,0)</f>
        <v>18</v>
      </c>
      <c r="T49" s="49">
        <f>VLOOKUP($B49,'06.02 с мобил'!$B$6:$AK$50,17,0)</f>
        <v>5.5</v>
      </c>
      <c r="U49" s="49">
        <f t="shared" si="59"/>
        <v>30.555555555555557</v>
      </c>
      <c r="V49" s="49">
        <f>VLOOKUP($B49,'06.02 с мобил'!$B$6:$AK$50,19,0)-VLOOKUP($B49,'ФОТ по мобил.'!$B$6:$Q$49,8,0)</f>
        <v>6845.600000000001</v>
      </c>
      <c r="W49" s="49">
        <f>VLOOKUP($B49,'06.02 с мобил'!$B$6:$AK$50,20,0)/VLOOKUP($B49,'06.02 с мобил'!$B$6:$AK$50,19,0)*V49</f>
        <v>2122.1</v>
      </c>
      <c r="X49" s="49">
        <f t="shared" si="60"/>
        <v>8967.7</v>
      </c>
      <c r="Y49" s="127">
        <f>VLOOKUP($B49,'06.02 с мобил'!$B$6:$AK$50,22,0)</f>
        <v>0</v>
      </c>
      <c r="Z49" s="145">
        <f t="shared" si="61"/>
        <v>8967.7</v>
      </c>
      <c r="AA49" s="118">
        <f>VLOOKUP($B49,'06.02 с мобил'!$B$6:$AK$50,23,0)</f>
        <v>24.2</v>
      </c>
      <c r="AB49" s="49">
        <f>VLOOKUP($B49,'06.02 с мобил'!$B$6:$AK$50,24,0)</f>
        <v>12</v>
      </c>
      <c r="AC49" s="49">
        <f t="shared" si="62"/>
        <v>49.586776859504134</v>
      </c>
      <c r="AD49" s="49">
        <f>VLOOKUP($B49,'06.02 с мобил'!$B$6:$AK$50,26,0)-VLOOKUP($B49,'ФОТ по мобил.'!$B$6:$Q$49,11,0)</f>
        <v>7440.300000000001</v>
      </c>
      <c r="AE49" s="49">
        <f>VLOOKUP($B49,'06.02 с мобил'!$B$6:$AK$50,27,0)/VLOOKUP($B49,'06.02 с мобил'!$B$6:$AK$50,26,0)*AD49</f>
        <v>2306.5</v>
      </c>
      <c r="AF49" s="49">
        <f t="shared" si="63"/>
        <v>9746.800000000001</v>
      </c>
      <c r="AG49" s="127">
        <f>VLOOKUP($B49,'06.02 с мобил'!$B$6:$AK$50,29,0)</f>
        <v>0</v>
      </c>
      <c r="AH49" s="145">
        <f t="shared" si="64"/>
        <v>9746.800000000001</v>
      </c>
      <c r="AI49" s="164">
        <f>VLOOKUP($B49,'06.02 с мобил'!$B$6:$AK$50,30,0)</f>
        <v>17</v>
      </c>
      <c r="AJ49" s="49">
        <f>VLOOKUP($B49,'06.02 с мобил'!$B$6:$AK$50,31,0)</f>
        <v>12</v>
      </c>
      <c r="AK49" s="49">
        <f t="shared" si="65"/>
        <v>70.58823529411765</v>
      </c>
      <c r="AL49" s="49">
        <f>VLOOKUP($B49,'06.02 с мобил'!$B$6:$AK$50,33,0)-VLOOKUP($B49,'ФОТ по мобил.'!$B$6:$Q$49,14,0)</f>
        <v>10849.5</v>
      </c>
      <c r="AM49" s="49">
        <f>VLOOKUP($B49,'06.02 с мобил'!$B$6:$AK$50,34,0)/VLOOKUP($B49,'06.02 с мобил'!$B$6:$AK$50,33,0)*AL49</f>
        <v>3363.3</v>
      </c>
      <c r="AN49" s="49">
        <f t="shared" si="66"/>
        <v>14212.8</v>
      </c>
      <c r="AO49" s="127">
        <f>VLOOKUP($B49,'06.02 с мобил'!$B$6:$AK$50,36,0)</f>
        <v>0</v>
      </c>
      <c r="AP49" s="145">
        <f t="shared" si="67"/>
        <v>14212.8</v>
      </c>
      <c r="AQ49" s="164">
        <f>VLOOKUP($B49,'06.02 с мобил'!$B$6:$AK$50,30,0)</f>
        <v>17</v>
      </c>
      <c r="AR49" s="49">
        <f>VLOOKUP($B49,'06.02 с мобил'!$B$6:$AK$50,31,0)</f>
        <v>12</v>
      </c>
      <c r="AS49" s="49">
        <f t="shared" si="68"/>
        <v>70.58823529411765</v>
      </c>
      <c r="AT49" s="49">
        <f>VLOOKUP($B49,'06.02 с мобил'!$B$6:$AK$50,33,0)-VLOOKUP($B49,'ФОТ по мобил.'!$B$6:$Q$49,14,0)</f>
        <v>10849.5</v>
      </c>
      <c r="AU49" s="49">
        <f>VLOOKUP($B49,'06.02 с мобил'!$B$6:$AK$50,34,0)/VLOOKUP($B49,'06.02 с мобил'!$B$6:$AK$50,33,0)*AT49</f>
        <v>3363.3</v>
      </c>
      <c r="AV49" s="49">
        <f t="shared" si="69"/>
        <v>14212.8</v>
      </c>
      <c r="AW49" s="127">
        <f>VLOOKUP($B49,'06.02 с мобил'!$B$6:$AK$50,36,0)</f>
        <v>0</v>
      </c>
      <c r="AX49" s="145">
        <f t="shared" si="70"/>
        <v>14212.8</v>
      </c>
      <c r="AY49" s="164">
        <f>VLOOKUP($B49,'06.02 с мобил'!$B$6:$AK$50,30,0)</f>
        <v>17</v>
      </c>
      <c r="AZ49" s="49">
        <f>VLOOKUP($B49,'06.02 с мобил'!$B$6:$AK$50,31,0)</f>
        <v>12</v>
      </c>
      <c r="BA49" s="49">
        <f t="shared" si="71"/>
        <v>70.58823529411765</v>
      </c>
      <c r="BB49" s="49">
        <f>VLOOKUP($B49,'06.02 с мобил'!$B$6:$AK$50,33,0)-VLOOKUP($B49,'ФОТ по мобил.'!$B$6:$Q$49,14,0)</f>
        <v>10849.5</v>
      </c>
      <c r="BC49" s="49">
        <f>VLOOKUP($B49,'06.02 с мобил'!$B$6:$AK$50,34,0)/VLOOKUP($B49,'06.02 с мобил'!$B$6:$AK$50,33,0)*BB49</f>
        <v>3363.3</v>
      </c>
      <c r="BD49" s="49">
        <f t="shared" si="72"/>
        <v>14212.8</v>
      </c>
      <c r="BE49" s="127">
        <f>VLOOKUP($B49,'06.02 с мобил'!$B$6:$AK$50,36,0)</f>
        <v>0</v>
      </c>
      <c r="BF49" s="145">
        <f t="shared" si="73"/>
        <v>14212.8</v>
      </c>
    </row>
    <row r="50" spans="1:58" ht="19.5" thickBot="1">
      <c r="A50" s="155" t="s">
        <v>30</v>
      </c>
      <c r="B50" s="156" t="s">
        <v>142</v>
      </c>
      <c r="C50" s="141">
        <f>K50+S50+AA50+AI50+AQ50+AY50</f>
        <v>14322</v>
      </c>
      <c r="D50" s="141">
        <f t="shared" si="52"/>
        <v>2426.5</v>
      </c>
      <c r="E50" s="141">
        <f>D50/C50*100</f>
        <v>16.942466136014524</v>
      </c>
      <c r="F50" s="141">
        <f t="shared" si="74"/>
        <v>82324.5</v>
      </c>
      <c r="G50" s="141">
        <f t="shared" si="74"/>
        <v>24697.50916206385</v>
      </c>
      <c r="H50" s="142">
        <f>SUM(F50:G50)</f>
        <v>107022.00916206386</v>
      </c>
      <c r="I50" s="143">
        <f>Q50+Y50+AG50+AO50+AW50+BE50</f>
        <v>26630.8</v>
      </c>
      <c r="J50" s="146">
        <f t="shared" si="55"/>
        <v>80391.20916206385</v>
      </c>
      <c r="K50" s="175">
        <f>VLOOKUP($B50,'06.02 с мобил'!$B$6:$AK$50,9,0)</f>
        <v>2387</v>
      </c>
      <c r="L50" s="141">
        <f>VLOOKUP($B50,'06.02 с мобил'!$B$6:$AK$50,10,0)</f>
        <v>485.3</v>
      </c>
      <c r="M50" s="141">
        <f>_xlfn.IFERROR(L50/K50*100,0)</f>
        <v>20.33095936321743</v>
      </c>
      <c r="N50" s="141">
        <f>VLOOKUP($B50,'06.02 с мобил'!$B$6:$AK$50,12,0)-VLOOKUP($B50,'ФОТ по мобил.'!$B$6:$Q$49,5,0)</f>
        <v>13188.5</v>
      </c>
      <c r="O50" s="141">
        <f>VLOOKUP($B50,'06.02 с мобил'!$B$6:$AK$50,13,0)/VLOOKUP($B50,'06.02 с мобил'!$B$6:$AK$50,12,0)*N50</f>
        <v>3956.5125294769446</v>
      </c>
      <c r="P50" s="141">
        <f t="shared" si="57"/>
        <v>17145.012529476946</v>
      </c>
      <c r="Q50" s="143">
        <f>VLOOKUP($B50,'06.02 с мобил'!$B$6:$AK$50,15,0)</f>
        <v>3145.5</v>
      </c>
      <c r="R50" s="146">
        <f t="shared" si="58"/>
        <v>13999.512529476946</v>
      </c>
      <c r="S50" s="176">
        <f>VLOOKUP($B50,'06.02 с мобил'!$B$6:$AK$50,16,0)</f>
        <v>2387</v>
      </c>
      <c r="T50" s="141">
        <f>VLOOKUP($B50,'06.02 с мобил'!$B$6:$AK$50,17,0)</f>
        <v>556.7</v>
      </c>
      <c r="U50" s="141">
        <f>_xlfn.IFERROR(T50/S50*100,0)</f>
        <v>23.322161709258484</v>
      </c>
      <c r="V50" s="141">
        <f>VLOOKUP($B50,'06.02 с мобил'!$B$6:$AK$50,19,0)-VLOOKUP($B50,'ФОТ по мобил.'!$B$6:$Q$49,8,0)</f>
        <v>14033.2</v>
      </c>
      <c r="W50" s="141">
        <f>VLOOKUP($B50,'06.02 с мобил'!$B$6:$AK$50,20,0)/VLOOKUP($B50,'06.02 с мобил'!$B$6:$AK$50,19,0)*V50</f>
        <v>4210.0070139703175</v>
      </c>
      <c r="X50" s="141">
        <f t="shared" si="60"/>
        <v>18243.207013970317</v>
      </c>
      <c r="Y50" s="143">
        <f>VLOOKUP($B50,'06.02 с мобил'!$B$6:$AK$50,22,0)</f>
        <v>3992</v>
      </c>
      <c r="Z50" s="146">
        <f t="shared" si="61"/>
        <v>14251.207013970317</v>
      </c>
      <c r="AA50" s="175">
        <f>VLOOKUP($B50,'06.02 с мобил'!$B$6:$AK$50,23,0)</f>
        <v>2387</v>
      </c>
      <c r="AB50" s="141">
        <f>VLOOKUP($B50,'06.02 с мобил'!$B$6:$AK$50,24,0)</f>
        <v>668.4</v>
      </c>
      <c r="AC50" s="141">
        <f>_xlfn.IFERROR(AB50/AA50*100,0)</f>
        <v>28.001675743611226</v>
      </c>
      <c r="AD50" s="141">
        <f>VLOOKUP($B50,'06.02 с мобил'!$B$6:$AK$50,26,0)-VLOOKUP($B50,'ФОТ по мобил.'!$B$6:$Q$49,11,0)</f>
        <v>14063.699999999999</v>
      </c>
      <c r="AE50" s="141">
        <f>VLOOKUP($B50,'06.02 с мобил'!$B$6:$AK$50,27,0)/VLOOKUP($B50,'06.02 с мобил'!$B$6:$AK$50,26,0)*AD50</f>
        <v>4219.119347570338</v>
      </c>
      <c r="AF50" s="141">
        <f t="shared" si="63"/>
        <v>18282.819347570337</v>
      </c>
      <c r="AG50" s="143">
        <f>VLOOKUP($B50,'06.02 с мобил'!$B$6:$AK$50,29,0)</f>
        <v>4901.9</v>
      </c>
      <c r="AH50" s="146">
        <f t="shared" si="64"/>
        <v>13380.919347570338</v>
      </c>
      <c r="AI50" s="176">
        <f>VLOOKUP($B50,'06.02 с мобил'!$B$6:$AK$50,30,0)</f>
        <v>2387</v>
      </c>
      <c r="AJ50" s="141">
        <f>VLOOKUP($B50,'06.02 с мобил'!$B$6:$AK$50,31,0)</f>
        <v>716.1</v>
      </c>
      <c r="AK50" s="141">
        <f>_xlfn.IFERROR(AJ50/AI50*100,0)</f>
        <v>30</v>
      </c>
      <c r="AL50" s="141">
        <f>VLOOKUP($B50,'06.02 с мобил'!$B$6:$AK$50,33,0)-VLOOKUP($B50,'ФОТ по мобил.'!$B$6:$Q$49,14,0)</f>
        <v>13679.7</v>
      </c>
      <c r="AM50" s="141">
        <f>VLOOKUP($B50,'06.02 с мобил'!$B$6:$AK$50,34,0)/VLOOKUP($B50,'06.02 с мобил'!$B$6:$AK$50,33,0)*AL50</f>
        <v>4103.956757015416</v>
      </c>
      <c r="AN50" s="141">
        <f t="shared" si="66"/>
        <v>17783.656757015415</v>
      </c>
      <c r="AO50" s="143">
        <f>VLOOKUP($B50,'06.02 с мобил'!$B$6:$AK$50,36,0)</f>
        <v>4863.8</v>
      </c>
      <c r="AP50" s="146">
        <f t="shared" si="67"/>
        <v>12919.856757015415</v>
      </c>
      <c r="AQ50" s="176">
        <f>VLOOKUP($B50,'06.02 с мобил'!$B$6:$AK$50,30,0)</f>
        <v>2387</v>
      </c>
      <c r="AR50" s="141">
        <f>VLOOKUP($B50,'06.02 с мобил'!$B$6:$AK$50,31,0)</f>
        <v>716.1</v>
      </c>
      <c r="AS50" s="141">
        <f>_xlfn.IFERROR(AR50/AQ50*100,0)</f>
        <v>30</v>
      </c>
      <c r="AT50" s="141">
        <f>VLOOKUP($B50,'06.02 с мобил'!$B$6:$AK$50,33,0)-VLOOKUP($B50,'ФОТ по мобил.'!$B$6:$Q$49,14,0)</f>
        <v>13679.7</v>
      </c>
      <c r="AU50" s="141">
        <f>VLOOKUP($B50,'06.02 с мобил'!$B$6:$AK$50,34,0)/VLOOKUP($B50,'06.02 с мобил'!$B$6:$AK$50,33,0)*AT50</f>
        <v>4103.956757015416</v>
      </c>
      <c r="AV50" s="141">
        <f t="shared" si="69"/>
        <v>17783.656757015415</v>
      </c>
      <c r="AW50" s="143">
        <f>VLOOKUP($B50,'06.02 с мобил'!$B$6:$AK$50,36,0)</f>
        <v>4863.8</v>
      </c>
      <c r="AX50" s="146">
        <f t="shared" si="70"/>
        <v>12919.856757015415</v>
      </c>
      <c r="AY50" s="176">
        <f>VLOOKUP($B50,'06.02 с мобил'!$B$6:$AK$50,30,0)</f>
        <v>2387</v>
      </c>
      <c r="AZ50" s="141">
        <f>VLOOKUP($B50,'06.02 с мобил'!$B$6:$AK$50,31,0)</f>
        <v>716.1</v>
      </c>
      <c r="BA50" s="141">
        <f>_xlfn.IFERROR(AZ50/AY50*100,0)</f>
        <v>30</v>
      </c>
      <c r="BB50" s="141">
        <f>VLOOKUP($B50,'06.02 с мобил'!$B$6:$AK$50,33,0)-VLOOKUP($B50,'ФОТ по мобил.'!$B$6:$Q$49,14,0)</f>
        <v>13679.7</v>
      </c>
      <c r="BC50" s="141">
        <f>VLOOKUP($B50,'06.02 с мобил'!$B$6:$AK$50,34,0)/VLOOKUP($B50,'06.02 с мобил'!$B$6:$AK$50,33,0)*BB50</f>
        <v>4103.956757015416</v>
      </c>
      <c r="BD50" s="141">
        <f t="shared" si="72"/>
        <v>17783.656757015415</v>
      </c>
      <c r="BE50" s="143">
        <f>VLOOKUP($B50,'06.02 с мобил'!$B$6:$AK$50,36,0)</f>
        <v>4863.8</v>
      </c>
      <c r="BF50" s="146">
        <f t="shared" si="73"/>
        <v>12919.856757015415</v>
      </c>
    </row>
    <row r="52" ht="15">
      <c r="W52" s="107">
        <f>W50/V50</f>
        <v>0.30000335019598645</v>
      </c>
    </row>
    <row r="53" spans="6:8" ht="15">
      <c r="F53" s="2"/>
      <c r="G53" s="2"/>
      <c r="H53" s="2"/>
    </row>
    <row r="58" spans="2:58" ht="15">
      <c r="B58" s="1"/>
      <c r="C58" s="1"/>
      <c r="D58" s="1"/>
      <c r="E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</sheetData>
  <sheetProtection/>
  <mergeCells count="52">
    <mergeCell ref="B1:H1"/>
    <mergeCell ref="O4:O5"/>
    <mergeCell ref="W4:W5"/>
    <mergeCell ref="R4:R5"/>
    <mergeCell ref="C4:E4"/>
    <mergeCell ref="G4:G5"/>
    <mergeCell ref="F4:F5"/>
    <mergeCell ref="S4:U4"/>
    <mergeCell ref="S3:Z3"/>
    <mergeCell ref="I4:I5"/>
    <mergeCell ref="AE4:AE5"/>
    <mergeCell ref="AH4:AH5"/>
    <mergeCell ref="K4:M4"/>
    <mergeCell ref="N4:N5"/>
    <mergeCell ref="X4:X5"/>
    <mergeCell ref="V4:V5"/>
    <mergeCell ref="Z4:Z5"/>
    <mergeCell ref="A3:A5"/>
    <mergeCell ref="B3:B5"/>
    <mergeCell ref="P4:P5"/>
    <mergeCell ref="Q4:Q5"/>
    <mergeCell ref="J4:J5"/>
    <mergeCell ref="H4:H5"/>
    <mergeCell ref="K3:R3"/>
    <mergeCell ref="C3:J3"/>
    <mergeCell ref="AP4:AP5"/>
    <mergeCell ref="Y4:Y5"/>
    <mergeCell ref="AW4:AW5"/>
    <mergeCell ref="AU4:AU5"/>
    <mergeCell ref="AV4:AV5"/>
    <mergeCell ref="AO4:AO5"/>
    <mergeCell ref="AT4:AT5"/>
    <mergeCell ref="AF4:AF5"/>
    <mergeCell ref="AG4:AG5"/>
    <mergeCell ref="AI4:AK4"/>
    <mergeCell ref="AY3:BF3"/>
    <mergeCell ref="AY4:BA4"/>
    <mergeCell ref="BB4:BB5"/>
    <mergeCell ref="BC4:BC5"/>
    <mergeCell ref="BF4:BF5"/>
    <mergeCell ref="BD4:BD5"/>
    <mergeCell ref="BE4:BE5"/>
    <mergeCell ref="AQ3:AX3"/>
    <mergeCell ref="AQ4:AS4"/>
    <mergeCell ref="AA4:AC4"/>
    <mergeCell ref="AD4:AD5"/>
    <mergeCell ref="AA3:AH3"/>
    <mergeCell ref="AX4:AX5"/>
    <mergeCell ref="AM4:AM5"/>
    <mergeCell ref="AN4:AN5"/>
    <mergeCell ref="AI3:AP3"/>
    <mergeCell ref="AL4:AL5"/>
  </mergeCells>
  <printOptions horizontalCentered="1"/>
  <pageMargins left="0.6692913385826772" right="0" top="0.4330708661417323" bottom="0" header="0.2755905511811024" footer="0.5118110236220472"/>
  <pageSetup blackAndWhite="1" fitToWidth="4" horizontalDpi="600" verticalDpi="600" orientation="landscape" paperSize="9" scale="46" r:id="rId1"/>
  <colBreaks count="3" manualBreakCount="3">
    <brk id="10" max="49" man="1"/>
    <brk id="26" max="49" man="1"/>
    <brk id="42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B53"/>
  <sheetViews>
    <sheetView showZeros="0" zoomScale="87" zoomScaleNormal="87" zoomScaleSheetLayoutView="7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9.8515625" defaultRowHeight="15" outlineLevelRow="1"/>
  <cols>
    <col min="1" max="1" width="7.00390625" style="1" customWidth="1"/>
    <col min="2" max="2" width="42.00390625" style="2" customWidth="1"/>
    <col min="3" max="3" width="17.00390625" style="1" customWidth="1"/>
    <col min="4" max="4" width="11.00390625" style="1" customWidth="1"/>
    <col min="5" max="5" width="12.28125" style="1" customWidth="1"/>
    <col min="6" max="6" width="13.7109375" style="2" customWidth="1"/>
    <col min="7" max="7" width="10.57421875" style="2" customWidth="1"/>
    <col min="8" max="8" width="11.7109375" style="2" customWidth="1"/>
    <col min="9" max="9" width="13.7109375" style="2" customWidth="1"/>
    <col min="10" max="10" width="10.57421875" style="2" customWidth="1"/>
    <col min="11" max="11" width="11.140625" style="2" customWidth="1"/>
    <col min="12" max="12" width="14.28125" style="2" customWidth="1"/>
    <col min="13" max="15" width="11.57421875" style="2" customWidth="1"/>
    <col min="16" max="16" width="11.421875" style="2" customWidth="1"/>
    <col min="17" max="17" width="11.00390625" style="2" customWidth="1"/>
    <col min="18" max="16384" width="9.8515625" style="2" customWidth="1"/>
  </cols>
  <sheetData>
    <row r="1" spans="3:184" s="4" customFormat="1" ht="55.5" customHeight="1">
      <c r="C1" s="257" t="s">
        <v>108</v>
      </c>
      <c r="D1" s="257"/>
      <c r="E1" s="257"/>
      <c r="F1" s="257"/>
      <c r="G1" s="257"/>
      <c r="H1" s="257"/>
      <c r="I1" s="257"/>
      <c r="J1" s="257"/>
      <c r="K1" s="25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4" s="4" customFormat="1" ht="18.75">
      <c r="A2" s="34" t="s">
        <v>59</v>
      </c>
      <c r="C2" s="18"/>
      <c r="D2" s="18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</row>
    <row r="3" spans="1:148" s="4" customFormat="1" ht="19.5" customHeight="1">
      <c r="A3" s="218"/>
      <c r="B3" s="250"/>
      <c r="C3" s="251" t="s">
        <v>78</v>
      </c>
      <c r="D3" s="216"/>
      <c r="E3" s="252"/>
      <c r="F3" s="253" t="s">
        <v>37</v>
      </c>
      <c r="G3" s="216"/>
      <c r="H3" s="244"/>
      <c r="I3" s="251" t="s">
        <v>38</v>
      </c>
      <c r="J3" s="216"/>
      <c r="K3" s="252"/>
      <c r="L3" s="253" t="s">
        <v>39</v>
      </c>
      <c r="M3" s="216"/>
      <c r="N3" s="244"/>
      <c r="O3" s="251" t="s">
        <v>79</v>
      </c>
      <c r="P3" s="216"/>
      <c r="Q3" s="25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</row>
    <row r="4" spans="1:148" s="4" customFormat="1" ht="50.25" customHeight="1">
      <c r="A4" s="218"/>
      <c r="B4" s="250"/>
      <c r="C4" s="255" t="s">
        <v>55</v>
      </c>
      <c r="D4" s="241" t="s">
        <v>56</v>
      </c>
      <c r="E4" s="258" t="s">
        <v>57</v>
      </c>
      <c r="F4" s="256" t="s">
        <v>55</v>
      </c>
      <c r="G4" s="241" t="s">
        <v>56</v>
      </c>
      <c r="H4" s="254" t="s">
        <v>57</v>
      </c>
      <c r="I4" s="255" t="s">
        <v>55</v>
      </c>
      <c r="J4" s="241" t="s">
        <v>56</v>
      </c>
      <c r="K4" s="258" t="s">
        <v>57</v>
      </c>
      <c r="L4" s="256" t="s">
        <v>55</v>
      </c>
      <c r="M4" s="241" t="s">
        <v>56</v>
      </c>
      <c r="N4" s="254" t="s">
        <v>57</v>
      </c>
      <c r="O4" s="255" t="s">
        <v>55</v>
      </c>
      <c r="P4" s="241" t="s">
        <v>56</v>
      </c>
      <c r="Q4" s="258" t="s">
        <v>57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4" customFormat="1" ht="36" customHeight="1">
      <c r="A5" s="218"/>
      <c r="B5" s="250"/>
      <c r="C5" s="255"/>
      <c r="D5" s="241"/>
      <c r="E5" s="258"/>
      <c r="F5" s="256"/>
      <c r="G5" s="241"/>
      <c r="H5" s="254"/>
      <c r="I5" s="255"/>
      <c r="J5" s="241"/>
      <c r="K5" s="258"/>
      <c r="L5" s="256"/>
      <c r="M5" s="241"/>
      <c r="N5" s="254"/>
      <c r="O5" s="255"/>
      <c r="P5" s="241"/>
      <c r="Q5" s="25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</row>
    <row r="6" spans="1:148" s="4" customFormat="1" ht="30.75" customHeight="1">
      <c r="A6" s="35"/>
      <c r="B6" s="110" t="s">
        <v>64</v>
      </c>
      <c r="C6" s="119">
        <f>SUM(C7:C49)</f>
        <v>105382.0305796774</v>
      </c>
      <c r="D6" s="54">
        <f>SUM(D7:D49)</f>
        <v>31614.609173903224</v>
      </c>
      <c r="E6" s="120">
        <f>C6+D6</f>
        <v>136996.63975358062</v>
      </c>
      <c r="F6" s="116">
        <f>SUM(F7:F49)</f>
        <v>53725.891870000014</v>
      </c>
      <c r="G6" s="54">
        <f>SUM(G7:G49)</f>
        <v>16117.767560999997</v>
      </c>
      <c r="H6" s="125">
        <f>F6+G6</f>
        <v>69843.65943100001</v>
      </c>
      <c r="I6" s="119">
        <f>SUM(I7:I49)</f>
        <v>16301.429032258065</v>
      </c>
      <c r="J6" s="54">
        <f>SUM(J7:J49)</f>
        <v>4890.428709677419</v>
      </c>
      <c r="K6" s="120">
        <f>I6+J6</f>
        <v>21191.857741935484</v>
      </c>
      <c r="L6" s="116">
        <f>SUM(L7:L49)</f>
        <v>18448.999999999996</v>
      </c>
      <c r="M6" s="54">
        <f>SUM(M7:M49)</f>
        <v>5534.699999999999</v>
      </c>
      <c r="N6" s="125">
        <f>L6+M6</f>
        <v>23983.699999999997</v>
      </c>
      <c r="O6" s="119">
        <f>SUM(O7:O49)</f>
        <v>16905.709677419356</v>
      </c>
      <c r="P6" s="54">
        <f>SUM(P7:P49)</f>
        <v>5071.712903225807</v>
      </c>
      <c r="Q6" s="120">
        <f>O6+P6</f>
        <v>21977.422580645165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</row>
    <row r="7" spans="1:17" s="13" customFormat="1" ht="41.25" customHeight="1">
      <c r="A7" s="96" t="s">
        <v>41</v>
      </c>
      <c r="B7" s="111" t="s">
        <v>60</v>
      </c>
      <c r="C7" s="123">
        <f>F7+I7+L7+O7</f>
        <v>18203.899999999998</v>
      </c>
      <c r="D7" s="49">
        <f>G7+J7+M7+P7</f>
        <v>5461.169999999999</v>
      </c>
      <c r="E7" s="124">
        <f>SUM(C7:D7)</f>
        <v>23665.069999999996</v>
      </c>
      <c r="F7" s="118">
        <f>SUM(F8:F16)</f>
        <v>18203.899999999998</v>
      </c>
      <c r="G7" s="49">
        <f aca="true" t="shared" si="0" ref="G7:Q7">SUM(G8:G16)</f>
        <v>5461.169999999999</v>
      </c>
      <c r="H7" s="127">
        <f aca="true" t="shared" si="1" ref="H7:H28">F7+G7</f>
        <v>23665.069999999996</v>
      </c>
      <c r="I7" s="123">
        <f t="shared" si="0"/>
        <v>0</v>
      </c>
      <c r="J7" s="49">
        <f t="shared" si="0"/>
        <v>0</v>
      </c>
      <c r="K7" s="124">
        <f t="shared" si="0"/>
        <v>0</v>
      </c>
      <c r="L7" s="118">
        <f t="shared" si="0"/>
        <v>0</v>
      </c>
      <c r="M7" s="49">
        <f t="shared" si="0"/>
        <v>0</v>
      </c>
      <c r="N7" s="127">
        <f t="shared" si="0"/>
        <v>0</v>
      </c>
      <c r="O7" s="123">
        <f t="shared" si="0"/>
        <v>0</v>
      </c>
      <c r="P7" s="49">
        <f t="shared" si="0"/>
        <v>0</v>
      </c>
      <c r="Q7" s="124">
        <f t="shared" si="0"/>
        <v>0</v>
      </c>
    </row>
    <row r="8" spans="1:17" s="13" customFormat="1" ht="41.25" customHeight="1" outlineLevel="1">
      <c r="A8" s="53">
        <v>1</v>
      </c>
      <c r="B8" s="112" t="s">
        <v>65</v>
      </c>
      <c r="C8" s="129">
        <f aca="true" t="shared" si="2" ref="C8:C16">F8+I8+L8+O8</f>
        <v>9259.2</v>
      </c>
      <c r="D8" s="56">
        <f aca="true" t="shared" si="3" ref="D8:D16">G8+J8+M8+P8</f>
        <v>2777.76</v>
      </c>
      <c r="E8" s="130">
        <f aca="true" t="shared" si="4" ref="E8:E16">SUM(C8:D8)</f>
        <v>12036.960000000001</v>
      </c>
      <c r="F8" s="131">
        <v>9259.2</v>
      </c>
      <c r="G8" s="56">
        <f>F8*0.3</f>
        <v>2777.76</v>
      </c>
      <c r="H8" s="132">
        <f t="shared" si="1"/>
        <v>12036.960000000001</v>
      </c>
      <c r="I8" s="129"/>
      <c r="J8" s="56"/>
      <c r="K8" s="130"/>
      <c r="L8" s="131"/>
      <c r="M8" s="56"/>
      <c r="N8" s="132"/>
      <c r="O8" s="129"/>
      <c r="P8" s="56"/>
      <c r="Q8" s="130"/>
    </row>
    <row r="9" spans="1:17" s="13" customFormat="1" ht="41.25" customHeight="1" outlineLevel="1">
      <c r="A9" s="53">
        <v>2</v>
      </c>
      <c r="B9" s="112" t="s">
        <v>66</v>
      </c>
      <c r="C9" s="129">
        <f t="shared" si="2"/>
        <v>8665</v>
      </c>
      <c r="D9" s="56">
        <f t="shared" si="3"/>
        <v>2599.5</v>
      </c>
      <c r="E9" s="130">
        <f t="shared" si="4"/>
        <v>11264.5</v>
      </c>
      <c r="F9" s="131">
        <v>8665</v>
      </c>
      <c r="G9" s="56">
        <f>F9*0.3</f>
        <v>2599.5</v>
      </c>
      <c r="H9" s="132">
        <f t="shared" si="1"/>
        <v>11264.5</v>
      </c>
      <c r="I9" s="129"/>
      <c r="J9" s="56"/>
      <c r="K9" s="130"/>
      <c r="L9" s="131"/>
      <c r="M9" s="56"/>
      <c r="N9" s="132"/>
      <c r="O9" s="129"/>
      <c r="P9" s="56"/>
      <c r="Q9" s="130"/>
    </row>
    <row r="10" spans="1:17" s="13" customFormat="1" ht="41.25" customHeight="1" outlineLevel="1">
      <c r="A10" s="53">
        <v>3</v>
      </c>
      <c r="B10" s="112" t="s">
        <v>67</v>
      </c>
      <c r="C10" s="129">
        <f t="shared" si="2"/>
        <v>68</v>
      </c>
      <c r="D10" s="56">
        <f t="shared" si="3"/>
        <v>20.4</v>
      </c>
      <c r="E10" s="130">
        <f t="shared" si="4"/>
        <v>88.4</v>
      </c>
      <c r="F10" s="131">
        <v>68</v>
      </c>
      <c r="G10" s="56">
        <f>F10*0.3</f>
        <v>20.4</v>
      </c>
      <c r="H10" s="132">
        <f t="shared" si="1"/>
        <v>88.4</v>
      </c>
      <c r="I10" s="129"/>
      <c r="J10" s="56"/>
      <c r="K10" s="130"/>
      <c r="L10" s="131"/>
      <c r="M10" s="56"/>
      <c r="N10" s="132"/>
      <c r="O10" s="129"/>
      <c r="P10" s="56"/>
      <c r="Q10" s="130"/>
    </row>
    <row r="11" spans="1:17" s="13" customFormat="1" ht="41.25" customHeight="1" outlineLevel="1">
      <c r="A11" s="53">
        <v>4</v>
      </c>
      <c r="B11" s="112" t="s">
        <v>68</v>
      </c>
      <c r="C11" s="129">
        <f t="shared" si="2"/>
        <v>30.3</v>
      </c>
      <c r="D11" s="56">
        <f t="shared" si="3"/>
        <v>9.09</v>
      </c>
      <c r="E11" s="130">
        <f t="shared" si="4"/>
        <v>39.39</v>
      </c>
      <c r="F11" s="131">
        <v>30.3</v>
      </c>
      <c r="G11" s="56">
        <f>F11*0.3</f>
        <v>9.09</v>
      </c>
      <c r="H11" s="132">
        <f t="shared" si="1"/>
        <v>39.39</v>
      </c>
      <c r="I11" s="129"/>
      <c r="J11" s="56"/>
      <c r="K11" s="130"/>
      <c r="L11" s="131"/>
      <c r="M11" s="56"/>
      <c r="N11" s="132"/>
      <c r="O11" s="129"/>
      <c r="P11" s="56"/>
      <c r="Q11" s="130"/>
    </row>
    <row r="12" spans="1:17" s="13" customFormat="1" ht="41.25" customHeight="1" outlineLevel="1">
      <c r="A12" s="53">
        <v>5</v>
      </c>
      <c r="B12" s="112" t="s">
        <v>69</v>
      </c>
      <c r="C12" s="129">
        <f t="shared" si="2"/>
        <v>0</v>
      </c>
      <c r="D12" s="56">
        <f t="shared" si="3"/>
        <v>0</v>
      </c>
      <c r="E12" s="130">
        <f t="shared" si="4"/>
        <v>0</v>
      </c>
      <c r="F12" s="131"/>
      <c r="G12" s="56"/>
      <c r="H12" s="132">
        <f t="shared" si="1"/>
        <v>0</v>
      </c>
      <c r="I12" s="129"/>
      <c r="J12" s="56"/>
      <c r="K12" s="130"/>
      <c r="L12" s="131"/>
      <c r="M12" s="56"/>
      <c r="N12" s="132"/>
      <c r="O12" s="129"/>
      <c r="P12" s="56"/>
      <c r="Q12" s="130"/>
    </row>
    <row r="13" spans="1:17" s="13" customFormat="1" ht="41.25" customHeight="1" outlineLevel="1">
      <c r="A13" s="53">
        <v>6</v>
      </c>
      <c r="B13" s="112" t="s">
        <v>70</v>
      </c>
      <c r="C13" s="129">
        <f t="shared" si="2"/>
        <v>0</v>
      </c>
      <c r="D13" s="56">
        <f t="shared" si="3"/>
        <v>0</v>
      </c>
      <c r="E13" s="130">
        <f t="shared" si="4"/>
        <v>0</v>
      </c>
      <c r="F13" s="131"/>
      <c r="G13" s="56"/>
      <c r="H13" s="132">
        <f t="shared" si="1"/>
        <v>0</v>
      </c>
      <c r="I13" s="129"/>
      <c r="J13" s="56"/>
      <c r="K13" s="130"/>
      <c r="L13" s="131"/>
      <c r="M13" s="56"/>
      <c r="N13" s="132"/>
      <c r="O13" s="129"/>
      <c r="P13" s="56"/>
      <c r="Q13" s="130"/>
    </row>
    <row r="14" spans="1:17" s="13" customFormat="1" ht="41.25" customHeight="1" outlineLevel="1">
      <c r="A14" s="53">
        <v>7</v>
      </c>
      <c r="B14" s="112" t="s">
        <v>71</v>
      </c>
      <c r="C14" s="129">
        <f t="shared" si="2"/>
        <v>31.6</v>
      </c>
      <c r="D14" s="56">
        <f t="shared" si="3"/>
        <v>9.48</v>
      </c>
      <c r="E14" s="130">
        <f t="shared" si="4"/>
        <v>41.08</v>
      </c>
      <c r="F14" s="131">
        <v>31.6</v>
      </c>
      <c r="G14" s="56">
        <f>F14*0.3</f>
        <v>9.48</v>
      </c>
      <c r="H14" s="132">
        <f t="shared" si="1"/>
        <v>41.08</v>
      </c>
      <c r="I14" s="129"/>
      <c r="J14" s="56"/>
      <c r="K14" s="130"/>
      <c r="L14" s="131"/>
      <c r="M14" s="56"/>
      <c r="N14" s="132"/>
      <c r="O14" s="129"/>
      <c r="P14" s="56"/>
      <c r="Q14" s="130"/>
    </row>
    <row r="15" spans="1:17" s="13" customFormat="1" ht="41.25" customHeight="1" outlineLevel="1">
      <c r="A15" s="53">
        <v>8</v>
      </c>
      <c r="B15" s="112" t="s">
        <v>72</v>
      </c>
      <c r="C15" s="129">
        <f t="shared" si="2"/>
        <v>0</v>
      </c>
      <c r="D15" s="56">
        <f t="shared" si="3"/>
        <v>0</v>
      </c>
      <c r="E15" s="130">
        <f t="shared" si="4"/>
        <v>0</v>
      </c>
      <c r="F15" s="131"/>
      <c r="G15" s="56"/>
      <c r="H15" s="132">
        <f t="shared" si="1"/>
        <v>0</v>
      </c>
      <c r="I15" s="129"/>
      <c r="J15" s="56"/>
      <c r="K15" s="130"/>
      <c r="L15" s="131"/>
      <c r="M15" s="56"/>
      <c r="N15" s="132"/>
      <c r="O15" s="129"/>
      <c r="P15" s="56"/>
      <c r="Q15" s="130"/>
    </row>
    <row r="16" spans="1:17" s="13" customFormat="1" ht="41.25" customHeight="1" outlineLevel="1">
      <c r="A16" s="53">
        <v>9</v>
      </c>
      <c r="B16" s="112" t="s">
        <v>73</v>
      </c>
      <c r="C16" s="129">
        <f t="shared" si="2"/>
        <v>149.8</v>
      </c>
      <c r="D16" s="56">
        <f t="shared" si="3"/>
        <v>44.940000000000005</v>
      </c>
      <c r="E16" s="130">
        <f t="shared" si="4"/>
        <v>194.74</v>
      </c>
      <c r="F16" s="131">
        <v>149.8</v>
      </c>
      <c r="G16" s="56">
        <f>F16*0.3</f>
        <v>44.940000000000005</v>
      </c>
      <c r="H16" s="132">
        <f t="shared" si="1"/>
        <v>194.74</v>
      </c>
      <c r="I16" s="129"/>
      <c r="J16" s="56"/>
      <c r="K16" s="130"/>
      <c r="L16" s="131"/>
      <c r="M16" s="56"/>
      <c r="N16" s="132"/>
      <c r="O16" s="129"/>
      <c r="P16" s="56"/>
      <c r="Q16" s="130"/>
    </row>
    <row r="17" spans="1:17" s="13" customFormat="1" ht="41.25" customHeight="1">
      <c r="A17" s="96" t="s">
        <v>76</v>
      </c>
      <c r="B17" s="111" t="s">
        <v>63</v>
      </c>
      <c r="C17" s="123">
        <f>F17+I17+L17+O17</f>
        <v>14618.419354838708</v>
      </c>
      <c r="D17" s="49">
        <f>G17+J17+M17+P17</f>
        <v>4385.525806451614</v>
      </c>
      <c r="E17" s="124">
        <f>SUM(C17:D17)</f>
        <v>19003.94516129032</v>
      </c>
      <c r="F17" s="118">
        <f>SUM(F18:F28)</f>
        <v>3162.9999999999995</v>
      </c>
      <c r="G17" s="49">
        <f aca="true" t="shared" si="5" ref="G17:Q17">SUM(G18:G28)</f>
        <v>948.9000000000001</v>
      </c>
      <c r="H17" s="127">
        <f t="shared" si="5"/>
        <v>4111.9</v>
      </c>
      <c r="I17" s="123">
        <f t="shared" si="5"/>
        <v>3610.4645161290323</v>
      </c>
      <c r="J17" s="49">
        <f t="shared" si="5"/>
        <v>1083.1393548387098</v>
      </c>
      <c r="K17" s="124">
        <f t="shared" si="5"/>
        <v>4693.603870967742</v>
      </c>
      <c r="L17" s="118">
        <f t="shared" si="5"/>
        <v>4045.3</v>
      </c>
      <c r="M17" s="49">
        <f t="shared" si="5"/>
        <v>1213.5900000000001</v>
      </c>
      <c r="N17" s="127">
        <f t="shared" si="5"/>
        <v>5258.889999999999</v>
      </c>
      <c r="O17" s="123">
        <f t="shared" si="5"/>
        <v>3799.6548387096777</v>
      </c>
      <c r="P17" s="49">
        <f t="shared" si="5"/>
        <v>1139.8964516129033</v>
      </c>
      <c r="Q17" s="124">
        <f t="shared" si="5"/>
        <v>4939.551290322581</v>
      </c>
    </row>
    <row r="18" spans="1:17" s="13" customFormat="1" ht="41.25" customHeight="1" outlineLevel="1">
      <c r="A18" s="53">
        <v>1</v>
      </c>
      <c r="B18" s="112" t="s">
        <v>80</v>
      </c>
      <c r="C18" s="129">
        <f aca="true" t="shared" si="6" ref="C18:C28">F18+I18+L18+O18</f>
        <v>1445</v>
      </c>
      <c r="D18" s="56">
        <f aca="true" t="shared" si="7" ref="D18:D28">G18+J18+M18+P18</f>
        <v>433.5</v>
      </c>
      <c r="E18" s="130">
        <f aca="true" t="shared" si="8" ref="E18:E28">SUM(C18:D18)</f>
        <v>1878.5</v>
      </c>
      <c r="F18" s="131">
        <v>370</v>
      </c>
      <c r="G18" s="56">
        <f aca="true" t="shared" si="9" ref="G18:G28">F18*0.3</f>
        <v>111</v>
      </c>
      <c r="H18" s="132">
        <f t="shared" si="1"/>
        <v>481</v>
      </c>
      <c r="I18" s="129">
        <v>355</v>
      </c>
      <c r="J18" s="56">
        <f aca="true" t="shared" si="10" ref="J18:J28">I18*0.3</f>
        <v>106.5</v>
      </c>
      <c r="K18" s="130">
        <f aca="true" t="shared" si="11" ref="K18:K28">I18+J18</f>
        <v>461.5</v>
      </c>
      <c r="L18" s="131">
        <v>370</v>
      </c>
      <c r="M18" s="56">
        <f aca="true" t="shared" si="12" ref="M18:M28">L18*0.3</f>
        <v>111</v>
      </c>
      <c r="N18" s="132">
        <f aca="true" t="shared" si="13" ref="N18:N28">L18+M18</f>
        <v>481</v>
      </c>
      <c r="O18" s="129">
        <v>350</v>
      </c>
      <c r="P18" s="56">
        <f aca="true" t="shared" si="14" ref="P18:P28">O18*0.3</f>
        <v>105</v>
      </c>
      <c r="Q18" s="130">
        <f aca="true" t="shared" si="15" ref="Q18:Q28">O18+P18</f>
        <v>455</v>
      </c>
    </row>
    <row r="19" spans="1:17" s="13" customFormat="1" ht="41.25" customHeight="1" outlineLevel="1">
      <c r="A19" s="53">
        <v>2</v>
      </c>
      <c r="B19" s="112" t="s">
        <v>81</v>
      </c>
      <c r="C19" s="129">
        <f t="shared" si="6"/>
        <v>5452.5</v>
      </c>
      <c r="D19" s="56">
        <f t="shared" si="7"/>
        <v>1635.75</v>
      </c>
      <c r="E19" s="130">
        <f t="shared" si="8"/>
        <v>7088.25</v>
      </c>
      <c r="F19" s="131">
        <v>816.2</v>
      </c>
      <c r="G19" s="56">
        <f t="shared" si="9"/>
        <v>244.86</v>
      </c>
      <c r="H19" s="132">
        <f t="shared" si="1"/>
        <v>1061.06</v>
      </c>
      <c r="I19" s="129">
        <v>1418.2</v>
      </c>
      <c r="J19" s="56">
        <f t="shared" si="10"/>
        <v>425.46</v>
      </c>
      <c r="K19" s="130">
        <f t="shared" si="11"/>
        <v>1843.66</v>
      </c>
      <c r="L19" s="131">
        <v>1684</v>
      </c>
      <c r="M19" s="56">
        <f t="shared" si="12"/>
        <v>505.2</v>
      </c>
      <c r="N19" s="132">
        <f t="shared" si="13"/>
        <v>2189.2</v>
      </c>
      <c r="O19" s="129">
        <v>1534.1</v>
      </c>
      <c r="P19" s="56">
        <f t="shared" si="14"/>
        <v>460.22999999999996</v>
      </c>
      <c r="Q19" s="130">
        <f t="shared" si="15"/>
        <v>1994.33</v>
      </c>
    </row>
    <row r="20" spans="1:17" s="13" customFormat="1" ht="41.25" customHeight="1" outlineLevel="1">
      <c r="A20" s="53">
        <v>3</v>
      </c>
      <c r="B20" s="112" t="s">
        <v>82</v>
      </c>
      <c r="C20" s="129">
        <f t="shared" si="6"/>
        <v>1925.3999999999999</v>
      </c>
      <c r="D20" s="56">
        <f t="shared" si="7"/>
        <v>577.62</v>
      </c>
      <c r="E20" s="130">
        <f t="shared" si="8"/>
        <v>2503.02</v>
      </c>
      <c r="F20" s="131">
        <v>497.4</v>
      </c>
      <c r="G20" s="56">
        <f t="shared" si="9"/>
        <v>149.22</v>
      </c>
      <c r="H20" s="132">
        <f t="shared" si="1"/>
        <v>646.62</v>
      </c>
      <c r="I20" s="129">
        <v>449.3</v>
      </c>
      <c r="J20" s="56">
        <f t="shared" si="10"/>
        <v>134.79</v>
      </c>
      <c r="K20" s="130">
        <f t="shared" si="11"/>
        <v>584.09</v>
      </c>
      <c r="L20" s="131">
        <v>497.4</v>
      </c>
      <c r="M20" s="56">
        <f t="shared" si="12"/>
        <v>149.22</v>
      </c>
      <c r="N20" s="132">
        <f t="shared" si="13"/>
        <v>646.62</v>
      </c>
      <c r="O20" s="129">
        <v>481.3</v>
      </c>
      <c r="P20" s="56">
        <f t="shared" si="14"/>
        <v>144.39</v>
      </c>
      <c r="Q20" s="130">
        <f t="shared" si="15"/>
        <v>625.69</v>
      </c>
    </row>
    <row r="21" spans="1:17" s="13" customFormat="1" ht="41.25" customHeight="1" outlineLevel="1">
      <c r="A21" s="53">
        <v>4</v>
      </c>
      <c r="B21" s="112" t="s">
        <v>83</v>
      </c>
      <c r="C21" s="129">
        <f t="shared" si="6"/>
        <v>3566.2999999999997</v>
      </c>
      <c r="D21" s="56">
        <f t="shared" si="7"/>
        <v>1069.8899999999999</v>
      </c>
      <c r="E21" s="130">
        <f t="shared" si="8"/>
        <v>4636.19</v>
      </c>
      <c r="F21" s="131">
        <v>921.3</v>
      </c>
      <c r="G21" s="56">
        <f t="shared" si="9"/>
        <v>276.39</v>
      </c>
      <c r="H21" s="132">
        <f t="shared" si="1"/>
        <v>1197.69</v>
      </c>
      <c r="I21" s="129">
        <v>832.1</v>
      </c>
      <c r="J21" s="56">
        <f t="shared" si="10"/>
        <v>249.63</v>
      </c>
      <c r="K21" s="130">
        <f t="shared" si="11"/>
        <v>1081.73</v>
      </c>
      <c r="L21" s="131">
        <v>921.3</v>
      </c>
      <c r="M21" s="56">
        <f t="shared" si="12"/>
        <v>276.39</v>
      </c>
      <c r="N21" s="132">
        <f t="shared" si="13"/>
        <v>1197.69</v>
      </c>
      <c r="O21" s="129">
        <v>891.6</v>
      </c>
      <c r="P21" s="56">
        <f t="shared" si="14"/>
        <v>267.48</v>
      </c>
      <c r="Q21" s="130">
        <f t="shared" si="15"/>
        <v>1159.08</v>
      </c>
    </row>
    <row r="22" spans="1:17" s="13" customFormat="1" ht="41.25" customHeight="1" outlineLevel="1">
      <c r="A22" s="53">
        <v>5</v>
      </c>
      <c r="B22" s="112" t="s">
        <v>84</v>
      </c>
      <c r="C22" s="129">
        <f t="shared" si="6"/>
        <v>404.79999999999995</v>
      </c>
      <c r="D22" s="56">
        <f t="shared" si="7"/>
        <v>121.44000000000001</v>
      </c>
      <c r="E22" s="130">
        <f t="shared" si="8"/>
        <v>526.24</v>
      </c>
      <c r="F22" s="131">
        <v>95.5</v>
      </c>
      <c r="G22" s="56">
        <f t="shared" si="9"/>
        <v>28.65</v>
      </c>
      <c r="H22" s="132">
        <f t="shared" si="1"/>
        <v>124.15</v>
      </c>
      <c r="I22" s="129">
        <v>127.4</v>
      </c>
      <c r="J22" s="56">
        <f t="shared" si="10"/>
        <v>38.22</v>
      </c>
      <c r="K22" s="130">
        <f t="shared" si="11"/>
        <v>165.62</v>
      </c>
      <c r="L22" s="131">
        <v>95.5</v>
      </c>
      <c r="M22" s="56">
        <f t="shared" si="12"/>
        <v>28.65</v>
      </c>
      <c r="N22" s="132">
        <f t="shared" si="13"/>
        <v>124.15</v>
      </c>
      <c r="O22" s="129">
        <v>86.4</v>
      </c>
      <c r="P22" s="56">
        <f t="shared" si="14"/>
        <v>25.92</v>
      </c>
      <c r="Q22" s="130">
        <f t="shared" si="15"/>
        <v>112.32000000000001</v>
      </c>
    </row>
    <row r="23" spans="1:17" s="13" customFormat="1" ht="41.25" customHeight="1" outlineLevel="1">
      <c r="A23" s="53">
        <v>6</v>
      </c>
      <c r="B23" s="112" t="s">
        <v>85</v>
      </c>
      <c r="C23" s="129">
        <f t="shared" si="6"/>
        <v>115.6</v>
      </c>
      <c r="D23" s="56">
        <f t="shared" si="7"/>
        <v>34.68</v>
      </c>
      <c r="E23" s="130">
        <f t="shared" si="8"/>
        <v>150.28</v>
      </c>
      <c r="F23" s="131">
        <v>28.6</v>
      </c>
      <c r="G23" s="56">
        <f t="shared" si="9"/>
        <v>8.58</v>
      </c>
      <c r="H23" s="132">
        <f t="shared" si="1"/>
        <v>37.18</v>
      </c>
      <c r="I23" s="129">
        <v>29</v>
      </c>
      <c r="J23" s="56">
        <f t="shared" si="10"/>
        <v>8.7</v>
      </c>
      <c r="K23" s="130">
        <f t="shared" si="11"/>
        <v>37.7</v>
      </c>
      <c r="L23" s="131">
        <v>29</v>
      </c>
      <c r="M23" s="56">
        <f t="shared" si="12"/>
        <v>8.7</v>
      </c>
      <c r="N23" s="132">
        <f t="shared" si="13"/>
        <v>37.7</v>
      </c>
      <c r="O23" s="129">
        <v>29</v>
      </c>
      <c r="P23" s="56">
        <f t="shared" si="14"/>
        <v>8.7</v>
      </c>
      <c r="Q23" s="130">
        <f t="shared" si="15"/>
        <v>37.7</v>
      </c>
    </row>
    <row r="24" spans="1:17" s="13" customFormat="1" ht="41.25" customHeight="1" outlineLevel="1">
      <c r="A24" s="53">
        <v>7</v>
      </c>
      <c r="B24" s="112" t="s">
        <v>86</v>
      </c>
      <c r="C24" s="129">
        <f t="shared" si="6"/>
        <v>1493.4193548387098</v>
      </c>
      <c r="D24" s="56">
        <f t="shared" si="7"/>
        <v>448.0258064516129</v>
      </c>
      <c r="E24" s="130">
        <f t="shared" si="8"/>
        <v>1941.4451612903226</v>
      </c>
      <c r="F24" s="131">
        <v>385.8</v>
      </c>
      <c r="G24" s="56">
        <f t="shared" si="9"/>
        <v>115.74</v>
      </c>
      <c r="H24" s="132">
        <f t="shared" si="1"/>
        <v>501.54</v>
      </c>
      <c r="I24" s="129">
        <v>348.4645161290323</v>
      </c>
      <c r="J24" s="56">
        <f t="shared" si="10"/>
        <v>104.53935483870968</v>
      </c>
      <c r="K24" s="130">
        <f t="shared" si="11"/>
        <v>453.003870967742</v>
      </c>
      <c r="L24" s="131">
        <v>385.80000000000007</v>
      </c>
      <c r="M24" s="56">
        <f t="shared" si="12"/>
        <v>115.74000000000001</v>
      </c>
      <c r="N24" s="132">
        <f t="shared" si="13"/>
        <v>501.5400000000001</v>
      </c>
      <c r="O24" s="129">
        <v>373.3548387096775</v>
      </c>
      <c r="P24" s="56">
        <f t="shared" si="14"/>
        <v>112.00645161290325</v>
      </c>
      <c r="Q24" s="130">
        <f t="shared" si="15"/>
        <v>485.36129032258077</v>
      </c>
    </row>
    <row r="25" spans="1:17" s="13" customFormat="1" ht="41.25" customHeight="1" outlineLevel="1">
      <c r="A25" s="53">
        <v>8</v>
      </c>
      <c r="B25" s="112" t="s">
        <v>87</v>
      </c>
      <c r="C25" s="129">
        <f t="shared" si="6"/>
        <v>215.4</v>
      </c>
      <c r="D25" s="56">
        <f t="shared" si="7"/>
        <v>64.61999999999999</v>
      </c>
      <c r="E25" s="130">
        <f t="shared" si="8"/>
        <v>280.02</v>
      </c>
      <c r="F25" s="131">
        <v>48.2</v>
      </c>
      <c r="G25" s="56">
        <f t="shared" si="9"/>
        <v>14.46</v>
      </c>
      <c r="H25" s="132">
        <f t="shared" si="1"/>
        <v>62.660000000000004</v>
      </c>
      <c r="I25" s="129">
        <v>51</v>
      </c>
      <c r="J25" s="56">
        <f t="shared" si="10"/>
        <v>15.299999999999999</v>
      </c>
      <c r="K25" s="130">
        <f t="shared" si="11"/>
        <v>66.3</v>
      </c>
      <c r="L25" s="131">
        <v>62.3</v>
      </c>
      <c r="M25" s="56">
        <f t="shared" si="12"/>
        <v>18.689999999999998</v>
      </c>
      <c r="N25" s="132">
        <f t="shared" si="13"/>
        <v>80.99</v>
      </c>
      <c r="O25" s="129">
        <v>53.9</v>
      </c>
      <c r="P25" s="56">
        <f t="shared" si="14"/>
        <v>16.169999999999998</v>
      </c>
      <c r="Q25" s="130">
        <f t="shared" si="15"/>
        <v>70.07</v>
      </c>
    </row>
    <row r="26" spans="1:17" s="13" customFormat="1" ht="41.25" customHeight="1" outlineLevel="1">
      <c r="A26" s="53">
        <v>9</v>
      </c>
      <c r="B26" s="112" t="s">
        <v>88</v>
      </c>
      <c r="C26" s="129">
        <f t="shared" si="6"/>
        <v>0</v>
      </c>
      <c r="D26" s="56">
        <f t="shared" si="7"/>
        <v>0</v>
      </c>
      <c r="E26" s="130">
        <f t="shared" si="8"/>
        <v>0</v>
      </c>
      <c r="F26" s="131"/>
      <c r="G26" s="56">
        <f t="shared" si="9"/>
        <v>0</v>
      </c>
      <c r="H26" s="132">
        <f t="shared" si="1"/>
        <v>0</v>
      </c>
      <c r="I26" s="129"/>
      <c r="J26" s="56">
        <f t="shared" si="10"/>
        <v>0</v>
      </c>
      <c r="K26" s="130">
        <f t="shared" si="11"/>
        <v>0</v>
      </c>
      <c r="L26" s="131"/>
      <c r="M26" s="56">
        <f t="shared" si="12"/>
        <v>0</v>
      </c>
      <c r="N26" s="132">
        <f t="shared" si="13"/>
        <v>0</v>
      </c>
      <c r="O26" s="129"/>
      <c r="P26" s="56">
        <f t="shared" si="14"/>
        <v>0</v>
      </c>
      <c r="Q26" s="130">
        <f t="shared" si="15"/>
        <v>0</v>
      </c>
    </row>
    <row r="27" spans="1:17" s="13" customFormat="1" ht="41.25" customHeight="1" outlineLevel="1">
      <c r="A27" s="53">
        <v>10</v>
      </c>
      <c r="B27" s="112" t="s">
        <v>74</v>
      </c>
      <c r="C27" s="129">
        <f t="shared" si="6"/>
        <v>0</v>
      </c>
      <c r="D27" s="56">
        <f t="shared" si="7"/>
        <v>0</v>
      </c>
      <c r="E27" s="130">
        <f t="shared" si="8"/>
        <v>0</v>
      </c>
      <c r="F27" s="131"/>
      <c r="G27" s="56">
        <f t="shared" si="9"/>
        <v>0</v>
      </c>
      <c r="H27" s="132">
        <f t="shared" si="1"/>
        <v>0</v>
      </c>
      <c r="I27" s="129"/>
      <c r="J27" s="56">
        <f t="shared" si="10"/>
        <v>0</v>
      </c>
      <c r="K27" s="130">
        <f t="shared" si="11"/>
        <v>0</v>
      </c>
      <c r="L27" s="131"/>
      <c r="M27" s="56">
        <f t="shared" si="12"/>
        <v>0</v>
      </c>
      <c r="N27" s="132">
        <f t="shared" si="13"/>
        <v>0</v>
      </c>
      <c r="O27" s="129"/>
      <c r="P27" s="56">
        <f t="shared" si="14"/>
        <v>0</v>
      </c>
      <c r="Q27" s="130">
        <f t="shared" si="15"/>
        <v>0</v>
      </c>
    </row>
    <row r="28" spans="1:17" s="13" customFormat="1" ht="41.25" customHeight="1" outlineLevel="1">
      <c r="A28" s="53">
        <v>11</v>
      </c>
      <c r="B28" s="112" t="s">
        <v>89</v>
      </c>
      <c r="C28" s="129">
        <f t="shared" si="6"/>
        <v>0</v>
      </c>
      <c r="D28" s="56">
        <f t="shared" si="7"/>
        <v>0</v>
      </c>
      <c r="E28" s="130">
        <f t="shared" si="8"/>
        <v>0</v>
      </c>
      <c r="F28" s="131"/>
      <c r="G28" s="56">
        <f t="shared" si="9"/>
        <v>0</v>
      </c>
      <c r="H28" s="132">
        <f t="shared" si="1"/>
        <v>0</v>
      </c>
      <c r="I28" s="129"/>
      <c r="J28" s="56">
        <f t="shared" si="10"/>
        <v>0</v>
      </c>
      <c r="K28" s="130">
        <f t="shared" si="11"/>
        <v>0</v>
      </c>
      <c r="L28" s="131"/>
      <c r="M28" s="56">
        <f t="shared" si="12"/>
        <v>0</v>
      </c>
      <c r="N28" s="132">
        <f t="shared" si="13"/>
        <v>0</v>
      </c>
      <c r="O28" s="129"/>
      <c r="P28" s="56">
        <f t="shared" si="14"/>
        <v>0</v>
      </c>
      <c r="Q28" s="130">
        <f t="shared" si="15"/>
        <v>0</v>
      </c>
    </row>
    <row r="29" spans="1:17" s="3" customFormat="1" ht="37.5">
      <c r="A29" s="42" t="s">
        <v>4</v>
      </c>
      <c r="B29" s="128" t="s">
        <v>7</v>
      </c>
      <c r="C29" s="123">
        <f>F29+I29+L29+O29</f>
        <v>16663.6</v>
      </c>
      <c r="D29" s="49">
        <f>G29+J29+M29+P29</f>
        <v>4999.079999999999</v>
      </c>
      <c r="E29" s="124">
        <f>SUM(C29:D29)</f>
        <v>21662.679999999997</v>
      </c>
      <c r="F29" s="118">
        <f>SUM(F30:F45)</f>
        <v>3701.8</v>
      </c>
      <c r="G29" s="49">
        <f>F29*0.3</f>
        <v>1110.54</v>
      </c>
      <c r="H29" s="127">
        <f>SUM(F29:G29)</f>
        <v>4812.34</v>
      </c>
      <c r="I29" s="123">
        <f>SUM(I30:I45)</f>
        <v>4094.6</v>
      </c>
      <c r="J29" s="49">
        <f>I29*0.3</f>
        <v>1228.3799999999999</v>
      </c>
      <c r="K29" s="124">
        <f>SUM(I29:J29)</f>
        <v>5322.98</v>
      </c>
      <c r="L29" s="118">
        <f>SUM(L30:L45)</f>
        <v>4688.4</v>
      </c>
      <c r="M29" s="49">
        <f>L29*0.3</f>
        <v>1406.5199999999998</v>
      </c>
      <c r="N29" s="127">
        <f>SUM(L29:M29)</f>
        <v>6094.919999999999</v>
      </c>
      <c r="O29" s="123">
        <f>SUM(O30:O45)</f>
        <v>4178.799999999999</v>
      </c>
      <c r="P29" s="49">
        <f>O29*0.3</f>
        <v>1253.6399999999996</v>
      </c>
      <c r="Q29" s="124">
        <f>SUM(O29:P29)</f>
        <v>5432.439999999999</v>
      </c>
    </row>
    <row r="30" spans="1:17" s="3" customFormat="1" ht="18.75" outlineLevel="1">
      <c r="A30" s="53">
        <v>1</v>
      </c>
      <c r="B30" s="112" t="s">
        <v>90</v>
      </c>
      <c r="C30" s="129">
        <f aca="true" t="shared" si="16" ref="C30:C49">F30+I30+L30+O30</f>
        <v>-148.5</v>
      </c>
      <c r="D30" s="56">
        <f aca="true" t="shared" si="17" ref="D30:D49">G30+J30+M30+P30</f>
        <v>-44.55</v>
      </c>
      <c r="E30" s="130">
        <f aca="true" t="shared" si="18" ref="E30:E49">SUM(C30:D30)</f>
        <v>-193.05</v>
      </c>
      <c r="F30" s="131">
        <v>-148.5</v>
      </c>
      <c r="G30" s="56">
        <f aca="true" t="shared" si="19" ref="G30:G45">F30*0.3</f>
        <v>-44.55</v>
      </c>
      <c r="H30" s="132">
        <f aca="true" t="shared" si="20" ref="H30:H45">SUM(F30:G30)</f>
        <v>-193.05</v>
      </c>
      <c r="I30" s="129"/>
      <c r="J30" s="56">
        <f aca="true" t="shared" si="21" ref="J30:J45">I30*0.3</f>
        <v>0</v>
      </c>
      <c r="K30" s="130">
        <f aca="true" t="shared" si="22" ref="K30:K45">SUM(I30:J30)</f>
        <v>0</v>
      </c>
      <c r="L30" s="131"/>
      <c r="M30" s="56">
        <f aca="true" t="shared" si="23" ref="M30:M45">L30*0.3</f>
        <v>0</v>
      </c>
      <c r="N30" s="132">
        <f aca="true" t="shared" si="24" ref="N30:N45">SUM(L30:M30)</f>
        <v>0</v>
      </c>
      <c r="O30" s="129"/>
      <c r="P30" s="56">
        <f aca="true" t="shared" si="25" ref="P30:P45">O30*0.3</f>
        <v>0</v>
      </c>
      <c r="Q30" s="130">
        <f aca="true" t="shared" si="26" ref="Q30:Q45">SUM(O30:P30)</f>
        <v>0</v>
      </c>
    </row>
    <row r="31" spans="1:17" s="3" customFormat="1" ht="37.5" outlineLevel="1">
      <c r="A31" s="53">
        <v>2</v>
      </c>
      <c r="B31" s="112" t="s">
        <v>91</v>
      </c>
      <c r="C31" s="129">
        <f t="shared" si="16"/>
        <v>0</v>
      </c>
      <c r="D31" s="56">
        <f t="shared" si="17"/>
        <v>0</v>
      </c>
      <c r="E31" s="130">
        <f t="shared" si="18"/>
        <v>0</v>
      </c>
      <c r="F31" s="131"/>
      <c r="G31" s="56">
        <f t="shared" si="19"/>
        <v>0</v>
      </c>
      <c r="H31" s="132">
        <f t="shared" si="20"/>
        <v>0</v>
      </c>
      <c r="I31" s="129"/>
      <c r="J31" s="56">
        <f t="shared" si="21"/>
        <v>0</v>
      </c>
      <c r="K31" s="130">
        <f t="shared" si="22"/>
        <v>0</v>
      </c>
      <c r="L31" s="131"/>
      <c r="M31" s="56">
        <f t="shared" si="23"/>
        <v>0</v>
      </c>
      <c r="N31" s="132">
        <f t="shared" si="24"/>
        <v>0</v>
      </c>
      <c r="O31" s="129"/>
      <c r="P31" s="56">
        <f t="shared" si="25"/>
        <v>0</v>
      </c>
      <c r="Q31" s="130">
        <f t="shared" si="26"/>
        <v>0</v>
      </c>
    </row>
    <row r="32" spans="1:17" s="3" customFormat="1" ht="37.5" outlineLevel="1">
      <c r="A32" s="53">
        <v>3</v>
      </c>
      <c r="B32" s="112" t="s">
        <v>92</v>
      </c>
      <c r="C32" s="129">
        <f t="shared" si="16"/>
        <v>4357.7</v>
      </c>
      <c r="D32" s="56">
        <f t="shared" si="17"/>
        <v>1307.31</v>
      </c>
      <c r="E32" s="130">
        <f t="shared" si="18"/>
        <v>5665.01</v>
      </c>
      <c r="F32" s="131">
        <v>964.1</v>
      </c>
      <c r="G32" s="56">
        <f t="shared" si="19"/>
        <v>289.23</v>
      </c>
      <c r="H32" s="132">
        <f t="shared" si="20"/>
        <v>1253.33</v>
      </c>
      <c r="I32" s="129">
        <v>1107</v>
      </c>
      <c r="J32" s="56">
        <f t="shared" si="21"/>
        <v>332.09999999999997</v>
      </c>
      <c r="K32" s="130">
        <f t="shared" si="22"/>
        <v>1439.1</v>
      </c>
      <c r="L32" s="131">
        <v>1176.6</v>
      </c>
      <c r="M32" s="56">
        <f t="shared" si="23"/>
        <v>352.97999999999996</v>
      </c>
      <c r="N32" s="132">
        <f t="shared" si="24"/>
        <v>1529.58</v>
      </c>
      <c r="O32" s="129">
        <v>1110</v>
      </c>
      <c r="P32" s="56">
        <f t="shared" si="25"/>
        <v>333</v>
      </c>
      <c r="Q32" s="130">
        <f t="shared" si="26"/>
        <v>1443</v>
      </c>
    </row>
    <row r="33" spans="1:17" s="3" customFormat="1" ht="18.75" outlineLevel="1">
      <c r="A33" s="53">
        <v>4</v>
      </c>
      <c r="B33" s="112" t="s">
        <v>93</v>
      </c>
      <c r="C33" s="129">
        <f t="shared" si="16"/>
        <v>9844.9</v>
      </c>
      <c r="D33" s="56">
        <f t="shared" si="17"/>
        <v>2953.47</v>
      </c>
      <c r="E33" s="130">
        <f t="shared" si="18"/>
        <v>12798.369999999999</v>
      </c>
      <c r="F33" s="131">
        <v>2234.8</v>
      </c>
      <c r="G33" s="56">
        <f t="shared" si="19"/>
        <v>670.44</v>
      </c>
      <c r="H33" s="132">
        <f t="shared" si="20"/>
        <v>2905.2400000000002</v>
      </c>
      <c r="I33" s="129">
        <v>2321.7</v>
      </c>
      <c r="J33" s="56">
        <f t="shared" si="21"/>
        <v>696.5099999999999</v>
      </c>
      <c r="K33" s="130">
        <f t="shared" si="22"/>
        <v>3018.2099999999996</v>
      </c>
      <c r="L33" s="131">
        <v>2837.7</v>
      </c>
      <c r="M33" s="56">
        <f t="shared" si="23"/>
        <v>851.31</v>
      </c>
      <c r="N33" s="132">
        <f t="shared" si="24"/>
        <v>3689.0099999999998</v>
      </c>
      <c r="O33" s="129">
        <v>2450.7</v>
      </c>
      <c r="P33" s="56">
        <f t="shared" si="25"/>
        <v>735.2099999999999</v>
      </c>
      <c r="Q33" s="130">
        <f t="shared" si="26"/>
        <v>3185.91</v>
      </c>
    </row>
    <row r="34" spans="1:17" s="3" customFormat="1" ht="37.5" outlineLevel="1">
      <c r="A34" s="53">
        <v>5</v>
      </c>
      <c r="B34" s="112" t="s">
        <v>94</v>
      </c>
      <c r="C34" s="129">
        <f t="shared" si="16"/>
        <v>2155.3</v>
      </c>
      <c r="D34" s="56">
        <f t="shared" si="17"/>
        <v>646.5899999999999</v>
      </c>
      <c r="E34" s="130">
        <f t="shared" si="18"/>
        <v>2801.8900000000003</v>
      </c>
      <c r="F34" s="131">
        <v>520</v>
      </c>
      <c r="G34" s="56">
        <f t="shared" si="19"/>
        <v>156</v>
      </c>
      <c r="H34" s="132">
        <f t="shared" si="20"/>
        <v>676</v>
      </c>
      <c r="I34" s="129">
        <v>566.9</v>
      </c>
      <c r="J34" s="56">
        <f t="shared" si="21"/>
        <v>170.07</v>
      </c>
      <c r="K34" s="130">
        <f t="shared" si="22"/>
        <v>736.97</v>
      </c>
      <c r="L34" s="131">
        <v>558.3</v>
      </c>
      <c r="M34" s="56">
        <f t="shared" si="23"/>
        <v>167.48999999999998</v>
      </c>
      <c r="N34" s="132">
        <f t="shared" si="24"/>
        <v>725.79</v>
      </c>
      <c r="O34" s="129">
        <v>510.1</v>
      </c>
      <c r="P34" s="56">
        <f t="shared" si="25"/>
        <v>153.03</v>
      </c>
      <c r="Q34" s="130">
        <f t="shared" si="26"/>
        <v>663.13</v>
      </c>
    </row>
    <row r="35" spans="1:17" s="3" customFormat="1" ht="18.75" outlineLevel="1">
      <c r="A35" s="53">
        <v>6</v>
      </c>
      <c r="B35" s="112" t="s">
        <v>95</v>
      </c>
      <c r="C35" s="129">
        <f t="shared" si="16"/>
        <v>113.6</v>
      </c>
      <c r="D35" s="56">
        <f t="shared" si="17"/>
        <v>34.07999999999999</v>
      </c>
      <c r="E35" s="130">
        <f t="shared" si="18"/>
        <v>147.67999999999998</v>
      </c>
      <c r="F35" s="131">
        <v>25.5</v>
      </c>
      <c r="G35" s="56">
        <f t="shared" si="19"/>
        <v>7.6499999999999995</v>
      </c>
      <c r="H35" s="132">
        <f t="shared" si="20"/>
        <v>33.15</v>
      </c>
      <c r="I35" s="129">
        <v>26.8</v>
      </c>
      <c r="J35" s="56">
        <f t="shared" si="21"/>
        <v>8.04</v>
      </c>
      <c r="K35" s="130">
        <f t="shared" si="22"/>
        <v>34.84</v>
      </c>
      <c r="L35" s="131">
        <v>32.8</v>
      </c>
      <c r="M35" s="56">
        <f t="shared" si="23"/>
        <v>9.839999999999998</v>
      </c>
      <c r="N35" s="132">
        <f t="shared" si="24"/>
        <v>42.63999999999999</v>
      </c>
      <c r="O35" s="129">
        <v>28.5</v>
      </c>
      <c r="P35" s="56">
        <f t="shared" si="25"/>
        <v>8.549999999999999</v>
      </c>
      <c r="Q35" s="130">
        <f t="shared" si="26"/>
        <v>37.05</v>
      </c>
    </row>
    <row r="36" spans="1:17" s="3" customFormat="1" ht="18.75" outlineLevel="1">
      <c r="A36" s="53">
        <v>7</v>
      </c>
      <c r="B36" s="112" t="s">
        <v>96</v>
      </c>
      <c r="C36" s="129">
        <f t="shared" si="16"/>
        <v>0</v>
      </c>
      <c r="D36" s="56">
        <f t="shared" si="17"/>
        <v>0</v>
      </c>
      <c r="E36" s="130">
        <f t="shared" si="18"/>
        <v>0</v>
      </c>
      <c r="F36" s="131"/>
      <c r="G36" s="56">
        <f t="shared" si="19"/>
        <v>0</v>
      </c>
      <c r="H36" s="132">
        <f t="shared" si="20"/>
        <v>0</v>
      </c>
      <c r="I36" s="129"/>
      <c r="J36" s="56">
        <f t="shared" si="21"/>
        <v>0</v>
      </c>
      <c r="K36" s="130">
        <f t="shared" si="22"/>
        <v>0</v>
      </c>
      <c r="L36" s="131"/>
      <c r="M36" s="56">
        <f t="shared" si="23"/>
        <v>0</v>
      </c>
      <c r="N36" s="132">
        <f t="shared" si="24"/>
        <v>0</v>
      </c>
      <c r="O36" s="129"/>
      <c r="P36" s="56">
        <f t="shared" si="25"/>
        <v>0</v>
      </c>
      <c r="Q36" s="130">
        <f t="shared" si="26"/>
        <v>0</v>
      </c>
    </row>
    <row r="37" spans="1:17" s="3" customFormat="1" ht="18.75" outlineLevel="1">
      <c r="A37" s="53">
        <v>8</v>
      </c>
      <c r="B37" s="112" t="s">
        <v>120</v>
      </c>
      <c r="C37" s="129">
        <f t="shared" si="16"/>
        <v>280.7</v>
      </c>
      <c r="D37" s="56">
        <f t="shared" si="17"/>
        <v>84.21</v>
      </c>
      <c r="E37" s="130">
        <f t="shared" si="18"/>
        <v>364.90999999999997</v>
      </c>
      <c r="F37" s="131">
        <v>94.4</v>
      </c>
      <c r="G37" s="56">
        <f t="shared" si="19"/>
        <v>28.32</v>
      </c>
      <c r="H37" s="132">
        <f t="shared" si="20"/>
        <v>122.72</v>
      </c>
      <c r="I37" s="129">
        <v>57.5</v>
      </c>
      <c r="J37" s="56">
        <f t="shared" si="21"/>
        <v>17.25</v>
      </c>
      <c r="K37" s="130">
        <f t="shared" si="22"/>
        <v>74.75</v>
      </c>
      <c r="L37" s="131">
        <v>65</v>
      </c>
      <c r="M37" s="56">
        <f t="shared" si="23"/>
        <v>19.5</v>
      </c>
      <c r="N37" s="132">
        <f t="shared" si="24"/>
        <v>84.5</v>
      </c>
      <c r="O37" s="129">
        <v>63.8</v>
      </c>
      <c r="P37" s="56">
        <f t="shared" si="25"/>
        <v>19.139999999999997</v>
      </c>
      <c r="Q37" s="130">
        <f t="shared" si="26"/>
        <v>82.94</v>
      </c>
    </row>
    <row r="38" spans="1:17" s="3" customFormat="1" ht="18.75" outlineLevel="1">
      <c r="A38" s="53">
        <v>9</v>
      </c>
      <c r="B38" s="112" t="s">
        <v>98</v>
      </c>
      <c r="C38" s="129">
        <f t="shared" si="16"/>
        <v>0</v>
      </c>
      <c r="D38" s="56">
        <f t="shared" si="17"/>
        <v>0</v>
      </c>
      <c r="E38" s="130">
        <f t="shared" si="18"/>
        <v>0</v>
      </c>
      <c r="F38" s="131"/>
      <c r="G38" s="56">
        <f t="shared" si="19"/>
        <v>0</v>
      </c>
      <c r="H38" s="132">
        <f t="shared" si="20"/>
        <v>0</v>
      </c>
      <c r="I38" s="129"/>
      <c r="J38" s="56">
        <f t="shared" si="21"/>
        <v>0</v>
      </c>
      <c r="K38" s="130">
        <f t="shared" si="22"/>
        <v>0</v>
      </c>
      <c r="L38" s="131"/>
      <c r="M38" s="56">
        <f t="shared" si="23"/>
        <v>0</v>
      </c>
      <c r="N38" s="132">
        <f t="shared" si="24"/>
        <v>0</v>
      </c>
      <c r="O38" s="129"/>
      <c r="P38" s="56">
        <f t="shared" si="25"/>
        <v>0</v>
      </c>
      <c r="Q38" s="130">
        <f t="shared" si="26"/>
        <v>0</v>
      </c>
    </row>
    <row r="39" spans="1:17" s="3" customFormat="1" ht="18.75" outlineLevel="1">
      <c r="A39" s="53">
        <v>10</v>
      </c>
      <c r="B39" s="112" t="s">
        <v>99</v>
      </c>
      <c r="C39" s="129">
        <f t="shared" si="16"/>
        <v>59.900000000000006</v>
      </c>
      <c r="D39" s="56">
        <f t="shared" si="17"/>
        <v>17.97</v>
      </c>
      <c r="E39" s="130">
        <f t="shared" si="18"/>
        <v>77.87</v>
      </c>
      <c r="F39" s="131">
        <v>11.5</v>
      </c>
      <c r="G39" s="56">
        <f t="shared" si="19"/>
        <v>3.4499999999999997</v>
      </c>
      <c r="H39" s="132">
        <f t="shared" si="20"/>
        <v>14.95</v>
      </c>
      <c r="I39" s="129">
        <v>14.7</v>
      </c>
      <c r="J39" s="56">
        <f t="shared" si="21"/>
        <v>4.409999999999999</v>
      </c>
      <c r="K39" s="130">
        <f t="shared" si="22"/>
        <v>19.11</v>
      </c>
      <c r="L39" s="131">
        <v>18</v>
      </c>
      <c r="M39" s="56">
        <f t="shared" si="23"/>
        <v>5.3999999999999995</v>
      </c>
      <c r="N39" s="132">
        <f t="shared" si="24"/>
        <v>23.4</v>
      </c>
      <c r="O39" s="129">
        <v>15.7</v>
      </c>
      <c r="P39" s="56">
        <f t="shared" si="25"/>
        <v>4.71</v>
      </c>
      <c r="Q39" s="130">
        <f t="shared" si="26"/>
        <v>20.41</v>
      </c>
    </row>
    <row r="40" spans="1:17" s="3" customFormat="1" ht="18.75" outlineLevel="1">
      <c r="A40" s="53">
        <v>11</v>
      </c>
      <c r="B40" s="112" t="s">
        <v>100</v>
      </c>
      <c r="C40" s="129">
        <f t="shared" si="16"/>
        <v>0</v>
      </c>
      <c r="D40" s="56">
        <f t="shared" si="17"/>
        <v>0</v>
      </c>
      <c r="E40" s="130">
        <f t="shared" si="18"/>
        <v>0</v>
      </c>
      <c r="F40" s="131"/>
      <c r="G40" s="56">
        <f t="shared" si="19"/>
        <v>0</v>
      </c>
      <c r="H40" s="132">
        <f t="shared" si="20"/>
        <v>0</v>
      </c>
      <c r="I40" s="129"/>
      <c r="J40" s="56">
        <f t="shared" si="21"/>
        <v>0</v>
      </c>
      <c r="K40" s="130">
        <f t="shared" si="22"/>
        <v>0</v>
      </c>
      <c r="L40" s="131"/>
      <c r="M40" s="56">
        <f t="shared" si="23"/>
        <v>0</v>
      </c>
      <c r="N40" s="132">
        <f t="shared" si="24"/>
        <v>0</v>
      </c>
      <c r="O40" s="129"/>
      <c r="P40" s="56">
        <f t="shared" si="25"/>
        <v>0</v>
      </c>
      <c r="Q40" s="130">
        <f t="shared" si="26"/>
        <v>0</v>
      </c>
    </row>
    <row r="41" spans="1:17" s="3" customFormat="1" ht="18.75" outlineLevel="1">
      <c r="A41" s="53">
        <v>12</v>
      </c>
      <c r="B41" s="112" t="s">
        <v>101</v>
      </c>
      <c r="C41" s="129">
        <f t="shared" si="16"/>
        <v>0</v>
      </c>
      <c r="D41" s="56">
        <f t="shared" si="17"/>
        <v>0</v>
      </c>
      <c r="E41" s="130">
        <f t="shared" si="18"/>
        <v>0</v>
      </c>
      <c r="F41" s="131"/>
      <c r="G41" s="56">
        <f t="shared" si="19"/>
        <v>0</v>
      </c>
      <c r="H41" s="132">
        <f t="shared" si="20"/>
        <v>0</v>
      </c>
      <c r="I41" s="129"/>
      <c r="J41" s="56">
        <f t="shared" si="21"/>
        <v>0</v>
      </c>
      <c r="K41" s="130">
        <f t="shared" si="22"/>
        <v>0</v>
      </c>
      <c r="L41" s="131"/>
      <c r="M41" s="56">
        <f t="shared" si="23"/>
        <v>0</v>
      </c>
      <c r="N41" s="132">
        <f t="shared" si="24"/>
        <v>0</v>
      </c>
      <c r="O41" s="129"/>
      <c r="P41" s="56">
        <f t="shared" si="25"/>
        <v>0</v>
      </c>
      <c r="Q41" s="130">
        <f t="shared" si="26"/>
        <v>0</v>
      </c>
    </row>
    <row r="42" spans="1:17" s="3" customFormat="1" ht="37.5" outlineLevel="1">
      <c r="A42" s="53">
        <v>13</v>
      </c>
      <c r="B42" s="112" t="s">
        <v>119</v>
      </c>
      <c r="C42" s="129">
        <f t="shared" si="16"/>
        <v>0</v>
      </c>
      <c r="D42" s="56">
        <f t="shared" si="17"/>
        <v>0</v>
      </c>
      <c r="E42" s="130">
        <f t="shared" si="18"/>
        <v>0</v>
      </c>
      <c r="F42" s="131"/>
      <c r="G42" s="56">
        <f t="shared" si="19"/>
        <v>0</v>
      </c>
      <c r="H42" s="132">
        <f t="shared" si="20"/>
        <v>0</v>
      </c>
      <c r="I42" s="129"/>
      <c r="J42" s="56">
        <f t="shared" si="21"/>
        <v>0</v>
      </c>
      <c r="K42" s="130">
        <f t="shared" si="22"/>
        <v>0</v>
      </c>
      <c r="L42" s="131"/>
      <c r="M42" s="56">
        <f t="shared" si="23"/>
        <v>0</v>
      </c>
      <c r="N42" s="132">
        <f t="shared" si="24"/>
        <v>0</v>
      </c>
      <c r="O42" s="129"/>
      <c r="P42" s="56">
        <f t="shared" si="25"/>
        <v>0</v>
      </c>
      <c r="Q42" s="130">
        <f t="shared" si="26"/>
        <v>0</v>
      </c>
    </row>
    <row r="43" spans="1:17" s="3" customFormat="1" ht="37.5" outlineLevel="1">
      <c r="A43" s="53">
        <v>14</v>
      </c>
      <c r="B43" s="112" t="s">
        <v>102</v>
      </c>
      <c r="C43" s="129">
        <f t="shared" si="16"/>
        <v>0</v>
      </c>
      <c r="D43" s="56">
        <f t="shared" si="17"/>
        <v>0</v>
      </c>
      <c r="E43" s="130">
        <f t="shared" si="18"/>
        <v>0</v>
      </c>
      <c r="F43" s="131"/>
      <c r="G43" s="56">
        <f t="shared" si="19"/>
        <v>0</v>
      </c>
      <c r="H43" s="132">
        <f t="shared" si="20"/>
        <v>0</v>
      </c>
      <c r="I43" s="129"/>
      <c r="J43" s="56">
        <f t="shared" si="21"/>
        <v>0</v>
      </c>
      <c r="K43" s="130">
        <f t="shared" si="22"/>
        <v>0</v>
      </c>
      <c r="L43" s="131"/>
      <c r="M43" s="56">
        <f t="shared" si="23"/>
        <v>0</v>
      </c>
      <c r="N43" s="132">
        <f t="shared" si="24"/>
        <v>0</v>
      </c>
      <c r="O43" s="129"/>
      <c r="P43" s="56">
        <f t="shared" si="25"/>
        <v>0</v>
      </c>
      <c r="Q43" s="130">
        <f t="shared" si="26"/>
        <v>0</v>
      </c>
    </row>
    <row r="44" spans="1:17" s="3" customFormat="1" ht="18.75" outlineLevel="1">
      <c r="A44" s="53">
        <v>15</v>
      </c>
      <c r="B44" s="112" t="s">
        <v>103</v>
      </c>
      <c r="C44" s="129">
        <f t="shared" si="16"/>
        <v>0</v>
      </c>
      <c r="D44" s="56">
        <f t="shared" si="17"/>
        <v>0</v>
      </c>
      <c r="E44" s="130">
        <f t="shared" si="18"/>
        <v>0</v>
      </c>
      <c r="F44" s="131"/>
      <c r="G44" s="56">
        <f t="shared" si="19"/>
        <v>0</v>
      </c>
      <c r="H44" s="132">
        <f t="shared" si="20"/>
        <v>0</v>
      </c>
      <c r="I44" s="129"/>
      <c r="J44" s="56">
        <f t="shared" si="21"/>
        <v>0</v>
      </c>
      <c r="K44" s="130">
        <f t="shared" si="22"/>
        <v>0</v>
      </c>
      <c r="L44" s="131"/>
      <c r="M44" s="56">
        <f t="shared" si="23"/>
        <v>0</v>
      </c>
      <c r="N44" s="132">
        <f t="shared" si="24"/>
        <v>0</v>
      </c>
      <c r="O44" s="129"/>
      <c r="P44" s="56">
        <f t="shared" si="25"/>
        <v>0</v>
      </c>
      <c r="Q44" s="130">
        <f t="shared" si="26"/>
        <v>0</v>
      </c>
    </row>
    <row r="45" spans="1:17" s="3" customFormat="1" ht="18.75" outlineLevel="1">
      <c r="A45" s="53">
        <v>16</v>
      </c>
      <c r="B45" s="112" t="s">
        <v>104</v>
      </c>
      <c r="C45" s="129">
        <f t="shared" si="16"/>
        <v>0</v>
      </c>
      <c r="D45" s="56">
        <f t="shared" si="17"/>
        <v>0</v>
      </c>
      <c r="E45" s="130">
        <f t="shared" si="18"/>
        <v>0</v>
      </c>
      <c r="F45" s="131"/>
      <c r="G45" s="56">
        <f t="shared" si="19"/>
        <v>0</v>
      </c>
      <c r="H45" s="132">
        <f t="shared" si="20"/>
        <v>0</v>
      </c>
      <c r="I45" s="129"/>
      <c r="J45" s="56">
        <f t="shared" si="21"/>
        <v>0</v>
      </c>
      <c r="K45" s="130">
        <f t="shared" si="22"/>
        <v>0</v>
      </c>
      <c r="L45" s="131"/>
      <c r="M45" s="56">
        <f t="shared" si="23"/>
        <v>0</v>
      </c>
      <c r="N45" s="132">
        <f t="shared" si="24"/>
        <v>0</v>
      </c>
      <c r="O45" s="129"/>
      <c r="P45" s="56">
        <f t="shared" si="25"/>
        <v>0</v>
      </c>
      <c r="Q45" s="130">
        <f t="shared" si="26"/>
        <v>0</v>
      </c>
    </row>
    <row r="46" spans="1:17" ht="15.75">
      <c r="A46" s="98" t="s">
        <v>2</v>
      </c>
      <c r="B46" s="113" t="s">
        <v>75</v>
      </c>
      <c r="C46" s="123">
        <f t="shared" si="16"/>
        <v>2698.19187</v>
      </c>
      <c r="D46" s="49">
        <f t="shared" si="17"/>
        <v>809.457561</v>
      </c>
      <c r="E46" s="124">
        <f t="shared" si="18"/>
        <v>3507.6494310000003</v>
      </c>
      <c r="F46" s="118">
        <v>2698.19187</v>
      </c>
      <c r="G46" s="49">
        <f>F46*0.3</f>
        <v>809.457561</v>
      </c>
      <c r="H46" s="127">
        <f>SUM(F46:G46)</f>
        <v>3507.6494310000003</v>
      </c>
      <c r="I46" s="123"/>
      <c r="J46" s="49"/>
      <c r="K46" s="124"/>
      <c r="L46" s="118"/>
      <c r="M46" s="49"/>
      <c r="N46" s="127"/>
      <c r="O46" s="123"/>
      <c r="P46" s="49"/>
      <c r="Q46" s="124"/>
    </row>
    <row r="47" spans="1:17" ht="31.5">
      <c r="A47" s="98" t="s">
        <v>3</v>
      </c>
      <c r="B47" s="113" t="s">
        <v>77</v>
      </c>
      <c r="C47" s="121"/>
      <c r="D47" s="87"/>
      <c r="E47" s="122"/>
      <c r="F47" s="117"/>
      <c r="G47" s="87"/>
      <c r="H47" s="126"/>
      <c r="I47" s="121"/>
      <c r="J47" s="87"/>
      <c r="K47" s="122"/>
      <c r="L47" s="117"/>
      <c r="M47" s="87"/>
      <c r="N47" s="126"/>
      <c r="O47" s="121"/>
      <c r="P47" s="87"/>
      <c r="Q47" s="122"/>
    </row>
    <row r="48" spans="1:17" ht="18.75">
      <c r="A48" s="98" t="s">
        <v>29</v>
      </c>
      <c r="B48" s="114" t="s">
        <v>61</v>
      </c>
      <c r="C48" s="121">
        <f t="shared" si="16"/>
        <v>0</v>
      </c>
      <c r="D48" s="87">
        <f t="shared" si="17"/>
        <v>0</v>
      </c>
      <c r="E48" s="122">
        <f t="shared" si="18"/>
        <v>0</v>
      </c>
      <c r="F48" s="117"/>
      <c r="G48" s="87"/>
      <c r="H48" s="126"/>
      <c r="I48" s="121"/>
      <c r="J48" s="87"/>
      <c r="K48" s="122"/>
      <c r="L48" s="117"/>
      <c r="M48" s="87"/>
      <c r="N48" s="126"/>
      <c r="O48" s="121"/>
      <c r="P48" s="87"/>
      <c r="Q48" s="122"/>
    </row>
    <row r="49" spans="1:17" ht="37.5">
      <c r="A49" s="98" t="s">
        <v>30</v>
      </c>
      <c r="B49" s="114" t="s">
        <v>142</v>
      </c>
      <c r="C49" s="123">
        <f t="shared" si="16"/>
        <v>3712</v>
      </c>
      <c r="D49" s="49">
        <f t="shared" si="17"/>
        <v>1113.6</v>
      </c>
      <c r="E49" s="124">
        <f t="shared" si="18"/>
        <v>4825.6</v>
      </c>
      <c r="F49" s="118">
        <v>890.3</v>
      </c>
      <c r="G49" s="49">
        <f>F49*0.3</f>
        <v>267.09</v>
      </c>
      <c r="H49" s="127">
        <f>SUM(F49:G49)</f>
        <v>1157.3899999999999</v>
      </c>
      <c r="I49" s="123">
        <v>891.3</v>
      </c>
      <c r="J49" s="49">
        <f>I49*0.3</f>
        <v>267.39</v>
      </c>
      <c r="K49" s="124">
        <f>SUM(I49:J49)</f>
        <v>1158.69</v>
      </c>
      <c r="L49" s="118">
        <v>981.6</v>
      </c>
      <c r="M49" s="49">
        <f>L49*0.3</f>
        <v>294.48</v>
      </c>
      <c r="N49" s="127">
        <f>SUM(L49:M49)</f>
        <v>1276.08</v>
      </c>
      <c r="O49" s="123">
        <v>948.8</v>
      </c>
      <c r="P49" s="49">
        <f>O49*0.3</f>
        <v>284.64</v>
      </c>
      <c r="Q49" s="124">
        <f>SUM(O49:P49)</f>
        <v>1233.44</v>
      </c>
    </row>
    <row r="52" ht="15">
      <c r="C52" s="1">
        <v>942.8870700000001</v>
      </c>
    </row>
    <row r="53" ht="15">
      <c r="C53" s="1">
        <v>1755.3048</v>
      </c>
    </row>
  </sheetData>
  <sheetProtection/>
  <mergeCells count="23">
    <mergeCell ref="P4:P5"/>
    <mergeCell ref="Q4:Q5"/>
    <mergeCell ref="O3:Q3"/>
    <mergeCell ref="M4:M5"/>
    <mergeCell ref="O4:O5"/>
    <mergeCell ref="L4:L5"/>
    <mergeCell ref="L3:N3"/>
    <mergeCell ref="N4:N5"/>
    <mergeCell ref="C1:K1"/>
    <mergeCell ref="J4:J5"/>
    <mergeCell ref="K4:K5"/>
    <mergeCell ref="I3:K3"/>
    <mergeCell ref="I4:I5"/>
    <mergeCell ref="D4:D5"/>
    <mergeCell ref="E4:E5"/>
    <mergeCell ref="A3:A5"/>
    <mergeCell ref="B3:B5"/>
    <mergeCell ref="C3:E3"/>
    <mergeCell ref="F3:H3"/>
    <mergeCell ref="H4:H5"/>
    <mergeCell ref="C4:C5"/>
    <mergeCell ref="F4:F5"/>
    <mergeCell ref="G4:G5"/>
  </mergeCells>
  <printOptions horizontalCentered="1"/>
  <pageMargins left="0" right="0" top="1.3779527559055118" bottom="0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54"/>
  <sheetViews>
    <sheetView showZeros="0" zoomScale="85" zoomScaleNormal="85" zoomScaleSheetLayoutView="70" zoomScalePageLayoutView="0" workbookViewId="0" topLeftCell="A1">
      <pane xSplit="2" ySplit="6" topLeftCell="I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55" sqref="N55"/>
    </sheetView>
  </sheetViews>
  <sheetFormatPr defaultColWidth="9.8515625" defaultRowHeight="15"/>
  <cols>
    <col min="1" max="1" width="7.00390625" style="1" customWidth="1"/>
    <col min="2" max="2" width="44.7109375" style="2" customWidth="1"/>
    <col min="3" max="3" width="13.57421875" style="2" customWidth="1"/>
    <col min="4" max="4" width="13.7109375" style="2" customWidth="1"/>
    <col min="5" max="5" width="11.28125" style="2" customWidth="1"/>
    <col min="6" max="6" width="15.421875" style="1" customWidth="1"/>
    <col min="7" max="7" width="11.00390625" style="1" customWidth="1"/>
    <col min="8" max="8" width="14.140625" style="1" customWidth="1"/>
    <col min="9" max="9" width="14.421875" style="2" customWidth="1"/>
    <col min="10" max="11" width="8.7109375" style="2" customWidth="1"/>
    <col min="12" max="12" width="10.28125" style="2" customWidth="1"/>
    <col min="13" max="13" width="13.7109375" style="2" customWidth="1"/>
    <col min="14" max="14" width="10.57421875" style="2" customWidth="1"/>
    <col min="15" max="15" width="11.7109375" style="2" customWidth="1"/>
    <col min="16" max="16" width="18.28125" style="2" customWidth="1"/>
    <col min="17" max="18" width="8.7109375" style="2" customWidth="1"/>
    <col min="19" max="19" width="10.28125" style="2" customWidth="1"/>
    <col min="20" max="20" width="13.7109375" style="2" customWidth="1"/>
    <col min="21" max="21" width="10.57421875" style="2" customWidth="1"/>
    <col min="22" max="22" width="11.140625" style="2" customWidth="1"/>
    <col min="23" max="23" width="15.8515625" style="2" customWidth="1"/>
    <col min="24" max="26" width="8.7109375" style="2" customWidth="1"/>
    <col min="27" max="27" width="14.28125" style="2" customWidth="1"/>
    <col min="28" max="28" width="11.57421875" style="2" customWidth="1"/>
    <col min="29" max="29" width="10.57421875" style="2" customWidth="1"/>
    <col min="30" max="30" width="17.57421875" style="2" customWidth="1"/>
    <col min="31" max="31" width="10.57421875" style="2" customWidth="1"/>
    <col min="32" max="32" width="11.28125" style="2" customWidth="1"/>
    <col min="33" max="33" width="9.140625" style="2" customWidth="1"/>
    <col min="34" max="34" width="10.57421875" style="2" customWidth="1"/>
    <col min="35" max="35" width="11.421875" style="2" customWidth="1"/>
    <col min="36" max="36" width="11.00390625" style="2" customWidth="1"/>
    <col min="37" max="37" width="17.00390625" style="2" customWidth="1"/>
    <col min="38" max="45" width="8.7109375" style="2" customWidth="1"/>
    <col min="46" max="16384" width="9.8515625" style="2" customWidth="1"/>
  </cols>
  <sheetData>
    <row r="1" spans="2:213" s="4" customFormat="1" ht="55.5" customHeight="1">
      <c r="B1" s="217" t="s">
        <v>105</v>
      </c>
      <c r="C1" s="217"/>
      <c r="D1" s="217"/>
      <c r="E1" s="217"/>
      <c r="F1" s="217"/>
      <c r="G1" s="217"/>
      <c r="H1" s="217"/>
      <c r="I1" s="14"/>
      <c r="J1" s="14"/>
      <c r="K1" s="14"/>
      <c r="L1" s="14"/>
      <c r="M1" s="14"/>
      <c r="N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</row>
    <row r="2" spans="1:213" s="4" customFormat="1" ht="18.75">
      <c r="A2" s="34" t="s">
        <v>59</v>
      </c>
      <c r="F2" s="18"/>
      <c r="G2" s="18"/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</row>
    <row r="3" spans="1:177" s="4" customFormat="1" ht="19.5" customHeight="1">
      <c r="A3" s="218"/>
      <c r="B3" s="219"/>
      <c r="C3" s="244" t="s">
        <v>53</v>
      </c>
      <c r="D3" s="259"/>
      <c r="E3" s="259"/>
      <c r="F3" s="259"/>
      <c r="G3" s="259"/>
      <c r="H3" s="259"/>
      <c r="I3" s="253"/>
      <c r="J3" s="244" t="s">
        <v>37</v>
      </c>
      <c r="K3" s="259"/>
      <c r="L3" s="259"/>
      <c r="M3" s="259"/>
      <c r="N3" s="259"/>
      <c r="O3" s="259"/>
      <c r="P3" s="253"/>
      <c r="Q3" s="244" t="s">
        <v>38</v>
      </c>
      <c r="R3" s="259"/>
      <c r="S3" s="259"/>
      <c r="T3" s="259"/>
      <c r="U3" s="259"/>
      <c r="V3" s="259"/>
      <c r="W3" s="253"/>
      <c r="X3" s="244" t="s">
        <v>39</v>
      </c>
      <c r="Y3" s="259"/>
      <c r="Z3" s="259"/>
      <c r="AA3" s="259"/>
      <c r="AB3" s="259"/>
      <c r="AC3" s="259"/>
      <c r="AD3" s="253"/>
      <c r="AE3" s="244" t="s">
        <v>40</v>
      </c>
      <c r="AF3" s="259"/>
      <c r="AG3" s="259"/>
      <c r="AH3" s="259"/>
      <c r="AI3" s="259"/>
      <c r="AJ3" s="259"/>
      <c r="AK3" s="25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</row>
    <row r="4" spans="1:177" s="4" customFormat="1" ht="62.25" customHeight="1">
      <c r="A4" s="218"/>
      <c r="B4" s="219"/>
      <c r="C4" s="219" t="s">
        <v>106</v>
      </c>
      <c r="D4" s="219"/>
      <c r="E4" s="219"/>
      <c r="F4" s="241" t="s">
        <v>121</v>
      </c>
      <c r="G4" s="241" t="s">
        <v>56</v>
      </c>
      <c r="H4" s="241" t="s">
        <v>57</v>
      </c>
      <c r="I4" s="216" t="s">
        <v>58</v>
      </c>
      <c r="J4" s="219" t="s">
        <v>54</v>
      </c>
      <c r="K4" s="219"/>
      <c r="L4" s="219"/>
      <c r="M4" s="241" t="s">
        <v>107</v>
      </c>
      <c r="N4" s="241" t="s">
        <v>56</v>
      </c>
      <c r="O4" s="241" t="s">
        <v>57</v>
      </c>
      <c r="P4" s="216" t="s">
        <v>58</v>
      </c>
      <c r="Q4" s="219" t="s">
        <v>54</v>
      </c>
      <c r="R4" s="219"/>
      <c r="S4" s="219"/>
      <c r="T4" s="241" t="s">
        <v>122</v>
      </c>
      <c r="U4" s="241" t="s">
        <v>56</v>
      </c>
      <c r="V4" s="241" t="s">
        <v>57</v>
      </c>
      <c r="W4" s="216" t="s">
        <v>58</v>
      </c>
      <c r="X4" s="219" t="s">
        <v>54</v>
      </c>
      <c r="Y4" s="219"/>
      <c r="Z4" s="219"/>
      <c r="AA4" s="241" t="s">
        <v>122</v>
      </c>
      <c r="AB4" s="241" t="s">
        <v>56</v>
      </c>
      <c r="AC4" s="241" t="s">
        <v>57</v>
      </c>
      <c r="AD4" s="216" t="s">
        <v>58</v>
      </c>
      <c r="AE4" s="219" t="s">
        <v>54</v>
      </c>
      <c r="AF4" s="219"/>
      <c r="AG4" s="219"/>
      <c r="AH4" s="241" t="s">
        <v>122</v>
      </c>
      <c r="AI4" s="241" t="s">
        <v>56</v>
      </c>
      <c r="AJ4" s="241" t="s">
        <v>57</v>
      </c>
      <c r="AK4" s="62" t="s">
        <v>58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</row>
    <row r="5" spans="1:177" s="4" customFormat="1" ht="75.75" customHeight="1">
      <c r="A5" s="218"/>
      <c r="B5" s="219"/>
      <c r="C5" s="30" t="s">
        <v>50</v>
      </c>
      <c r="D5" s="30" t="s">
        <v>51</v>
      </c>
      <c r="E5" s="30" t="s">
        <v>52</v>
      </c>
      <c r="F5" s="241"/>
      <c r="G5" s="241"/>
      <c r="H5" s="241"/>
      <c r="I5" s="216"/>
      <c r="J5" s="30" t="s">
        <v>50</v>
      </c>
      <c r="K5" s="30" t="s">
        <v>51</v>
      </c>
      <c r="L5" s="30" t="s">
        <v>52</v>
      </c>
      <c r="M5" s="241"/>
      <c r="N5" s="241"/>
      <c r="O5" s="241"/>
      <c r="P5" s="216"/>
      <c r="Q5" s="30" t="s">
        <v>50</v>
      </c>
      <c r="R5" s="30" t="s">
        <v>51</v>
      </c>
      <c r="S5" s="30" t="s">
        <v>52</v>
      </c>
      <c r="T5" s="241"/>
      <c r="U5" s="241"/>
      <c r="V5" s="241"/>
      <c r="W5" s="216"/>
      <c r="X5" s="30" t="s">
        <v>50</v>
      </c>
      <c r="Y5" s="30" t="s">
        <v>51</v>
      </c>
      <c r="Z5" s="30" t="s">
        <v>52</v>
      </c>
      <c r="AA5" s="241"/>
      <c r="AB5" s="241"/>
      <c r="AC5" s="241"/>
      <c r="AD5" s="216"/>
      <c r="AE5" s="30" t="s">
        <v>50</v>
      </c>
      <c r="AF5" s="30" t="s">
        <v>51</v>
      </c>
      <c r="AG5" s="30" t="s">
        <v>52</v>
      </c>
      <c r="AH5" s="241"/>
      <c r="AI5" s="241"/>
      <c r="AJ5" s="241"/>
      <c r="AK5" s="6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</row>
    <row r="6" spans="1:177" s="4" customFormat="1" ht="30.75" customHeight="1">
      <c r="A6" s="35"/>
      <c r="B6" s="43" t="s">
        <v>64</v>
      </c>
      <c r="C6" s="54">
        <f>C8+C18+C30+C47+C48+C49+C50</f>
        <v>10352.5</v>
      </c>
      <c r="D6" s="54">
        <f>D8+D18+D30+D47+D48+D49+D50</f>
        <v>3046.566</v>
      </c>
      <c r="E6" s="54">
        <f>D6/C6*100</f>
        <v>29.4283120019319</v>
      </c>
      <c r="F6" s="54">
        <f>F8+F18+F30+F47+F48+F49+F50</f>
        <v>2502222.8311091093</v>
      </c>
      <c r="G6" s="54">
        <f>G8+G18+G30+G47+G48+G49+G50</f>
        <v>801915.6728327326</v>
      </c>
      <c r="H6" s="54">
        <f>SUM(F6:G6)</f>
        <v>3304138.503941842</v>
      </c>
      <c r="I6" s="54">
        <f>SUM(I8:I50)</f>
        <v>614831.5446666667</v>
      </c>
      <c r="J6" s="54">
        <f>J8+J18+J30+J47+J48+J49+J50</f>
        <v>2535</v>
      </c>
      <c r="K6" s="54">
        <f>K8+K18+K30+K47+K48+K49+K50</f>
        <v>634.242</v>
      </c>
      <c r="L6" s="48">
        <f>K6/J6*100</f>
        <v>25.01940828402367</v>
      </c>
      <c r="M6" s="54">
        <f>M8+M18+M30+M47+M48+M49+M50</f>
        <v>653627.27037</v>
      </c>
      <c r="N6" s="54">
        <f>N8+N18+N30+N47+N48+N49+N50</f>
        <v>208999.13761099998</v>
      </c>
      <c r="O6" s="48">
        <f>SUM(M6:N6)</f>
        <v>862626.407981</v>
      </c>
      <c r="P6" s="54">
        <f>SUM(P8:P50)</f>
        <v>171944</v>
      </c>
      <c r="Q6" s="54">
        <f>Q8+Q18+Q30+Q47+Q48+Q49+Q50</f>
        <v>2568.9</v>
      </c>
      <c r="R6" s="54">
        <f>R8+R18+R30+R47+R48+R49+R50</f>
        <v>617.8290000000001</v>
      </c>
      <c r="S6" s="48">
        <f>_xlfn.IFERROR(R6/Q6*100,0)</f>
        <v>24.05033282728016</v>
      </c>
      <c r="T6" s="54">
        <f>T8+T18+T30+T47+T48+T49+T50</f>
        <v>579484.8844894062</v>
      </c>
      <c r="U6" s="54">
        <f>U8+U18+U30+U47+U48+U49+U50</f>
        <v>184094.5978468219</v>
      </c>
      <c r="V6" s="48">
        <f>SUM(T6:U6)</f>
        <v>763579.4823362281</v>
      </c>
      <c r="W6" s="54">
        <f>SUM(W8:W50)</f>
        <v>3992</v>
      </c>
      <c r="X6" s="54">
        <f>X8+X18+X30+X47+X48+X49+X50</f>
        <v>2606</v>
      </c>
      <c r="Y6" s="54">
        <f>Y8+Y18+Y30+Y47+Y48+Y49+Y50</f>
        <v>852.835</v>
      </c>
      <c r="Z6" s="48">
        <f>Y6/X6*100</f>
        <v>32.725825019186495</v>
      </c>
      <c r="AA6" s="54">
        <f>AA8+AA18+AA30+AA47+AA48+AA49+AA50</f>
        <v>643847.0785292438</v>
      </c>
      <c r="AB6" s="54">
        <f>AB8+AB18+AB30+AB47+AB48+AB49+AB50</f>
        <v>207148.78105877308</v>
      </c>
      <c r="AC6" s="48">
        <f>SUM(AA6:AB6)</f>
        <v>850995.8595880169</v>
      </c>
      <c r="AD6" s="54">
        <f>SUM(AD8:AD50)</f>
        <v>213534.91155555556</v>
      </c>
      <c r="AE6" s="54">
        <f>AE8+AE18+AE30+AE47+AE48+AE49+AE50</f>
        <v>2642.6</v>
      </c>
      <c r="AF6" s="54">
        <f>AF8+AF18+AF30+AF47+AF48+AF49+AF50</f>
        <v>941.6600000000001</v>
      </c>
      <c r="AG6" s="48">
        <f>AF6/AE6*100</f>
        <v>35.633845455233484</v>
      </c>
      <c r="AH6" s="54">
        <f>AH8+AH18+AH30+AH47+AH48+AH49+AH50</f>
        <v>625263.5977204591</v>
      </c>
      <c r="AI6" s="54">
        <f>AI8+AI18+AI30+AI47+AI48+AI49+AI50</f>
        <v>201673.15631613773</v>
      </c>
      <c r="AJ6" s="48">
        <f>SUM(AH6:AI6)</f>
        <v>826936.7540365969</v>
      </c>
      <c r="AK6" s="54">
        <f>SUM(AK8:AK50)</f>
        <v>225360.6331111111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</row>
    <row r="7" spans="1:177" s="4" customFormat="1" ht="19.5" customHeight="1">
      <c r="A7" s="69"/>
      <c r="B7" s="70"/>
      <c r="C7" s="71"/>
      <c r="D7" s="71"/>
      <c r="E7" s="71"/>
      <c r="F7" s="71"/>
      <c r="G7" s="71"/>
      <c r="H7" s="71"/>
      <c r="I7" s="71"/>
      <c r="J7" s="71"/>
      <c r="K7" s="71"/>
      <c r="L7" s="72"/>
      <c r="M7" s="71"/>
      <c r="N7" s="71"/>
      <c r="O7" s="72"/>
      <c r="P7" s="71"/>
      <c r="Q7" s="71"/>
      <c r="R7" s="71"/>
      <c r="S7" s="72">
        <f>_xlfn.IFERROR(R7/Q7*100,0)</f>
        <v>0</v>
      </c>
      <c r="T7" s="71"/>
      <c r="U7" s="71"/>
      <c r="V7" s="72"/>
      <c r="W7" s="71"/>
      <c r="X7" s="71"/>
      <c r="Y7" s="71"/>
      <c r="Z7" s="72"/>
      <c r="AA7" s="71"/>
      <c r="AB7" s="71"/>
      <c r="AC7" s="72"/>
      <c r="AD7" s="71"/>
      <c r="AE7" s="71"/>
      <c r="AF7" s="71"/>
      <c r="AG7" s="72"/>
      <c r="AH7" s="71"/>
      <c r="AI7" s="71"/>
      <c r="AJ7" s="72"/>
      <c r="AK7" s="71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</row>
    <row r="8" spans="1:37" s="13" customFormat="1" ht="41.25" customHeight="1">
      <c r="A8" s="42" t="s">
        <v>41</v>
      </c>
      <c r="B8" s="37" t="s">
        <v>60</v>
      </c>
      <c r="C8" s="49">
        <f>SUM(C9:C17)</f>
        <v>47</v>
      </c>
      <c r="D8" s="49">
        <f>SUM(D9:D17)</f>
        <v>0</v>
      </c>
      <c r="E8" s="49">
        <f>D8/C8*100</f>
        <v>0</v>
      </c>
      <c r="F8" s="49">
        <f aca="true" t="shared" si="0" ref="F8:K8">SUM(F9:F17)</f>
        <v>290104.8999999999</v>
      </c>
      <c r="G8" s="49">
        <f t="shared" si="0"/>
        <v>87031.47</v>
      </c>
      <c r="H8" s="49">
        <f t="shared" si="0"/>
        <v>377136.37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>_xlfn.IFERROR(K8/J8*100,0)</f>
        <v>0</v>
      </c>
      <c r="M8" s="49">
        <f aca="true" t="shared" si="1" ref="M8:R8">SUM(M9:M17)</f>
        <v>85403.7</v>
      </c>
      <c r="N8" s="49">
        <f t="shared" si="1"/>
        <v>25621.11</v>
      </c>
      <c r="O8" s="49">
        <f t="shared" si="1"/>
        <v>111024.81</v>
      </c>
      <c r="P8" s="49">
        <f t="shared" si="1"/>
        <v>0</v>
      </c>
      <c r="Q8" s="49">
        <f t="shared" si="1"/>
        <v>13</v>
      </c>
      <c r="R8" s="49">
        <f t="shared" si="1"/>
        <v>0</v>
      </c>
      <c r="S8" s="49">
        <f>_xlfn.IFERROR(R8/Q8*100,0)</f>
        <v>0</v>
      </c>
      <c r="T8" s="49">
        <f aca="true" t="shared" si="2" ref="T8:Y8">SUM(T9:T17)</f>
        <v>65390.9</v>
      </c>
      <c r="U8" s="49">
        <f t="shared" si="2"/>
        <v>19617.270000000004</v>
      </c>
      <c r="V8" s="49">
        <f t="shared" si="2"/>
        <v>85008.16999999998</v>
      </c>
      <c r="W8" s="49">
        <f t="shared" si="2"/>
        <v>0</v>
      </c>
      <c r="X8" s="49">
        <f t="shared" si="2"/>
        <v>14</v>
      </c>
      <c r="Y8" s="49">
        <f t="shared" si="2"/>
        <v>0</v>
      </c>
      <c r="Z8" s="49">
        <f>Y8/X8*100</f>
        <v>0</v>
      </c>
      <c r="AA8" s="49">
        <f aca="true" t="shared" si="3" ref="AA8:AF8">SUM(AA9:AA17)</f>
        <v>72141.49999999999</v>
      </c>
      <c r="AB8" s="49">
        <f t="shared" si="3"/>
        <v>21642.45</v>
      </c>
      <c r="AC8" s="49">
        <f t="shared" si="3"/>
        <v>93783.95</v>
      </c>
      <c r="AD8" s="49">
        <f t="shared" si="3"/>
        <v>0</v>
      </c>
      <c r="AE8" s="49">
        <f t="shared" si="3"/>
        <v>20</v>
      </c>
      <c r="AF8" s="49">
        <f t="shared" si="3"/>
        <v>0</v>
      </c>
      <c r="AG8" s="49">
        <f>AF8/AE8*100</f>
        <v>0</v>
      </c>
      <c r="AH8" s="49">
        <f>SUM(AH9:AH17)</f>
        <v>67168.79999999999</v>
      </c>
      <c r="AI8" s="49">
        <f>SUM(AI9:AI17)</f>
        <v>20150.64</v>
      </c>
      <c r="AJ8" s="49">
        <f>SUM(AJ9:AJ17)</f>
        <v>87319.44</v>
      </c>
      <c r="AK8" s="49">
        <f>SUM(AK9:AK17)</f>
        <v>0</v>
      </c>
    </row>
    <row r="9" spans="1:37" s="3" customFormat="1" ht="18.75" customHeight="1">
      <c r="A9" s="5">
        <v>1</v>
      </c>
      <c r="B9" s="36" t="s">
        <v>65</v>
      </c>
      <c r="C9" s="56">
        <f aca="true" t="shared" si="4" ref="C9:C17">J9+Q9+X9+AE9</f>
        <v>47</v>
      </c>
      <c r="D9" s="56">
        <f aca="true" t="shared" si="5" ref="D9:D17">K9+R9+Y9+AF9</f>
        <v>0</v>
      </c>
      <c r="E9" s="56"/>
      <c r="F9" s="56">
        <f aca="true" t="shared" si="6" ref="F9:F17">M9+T9+AA9+AH9</f>
        <v>235489.4</v>
      </c>
      <c r="G9" s="56">
        <f aca="true" t="shared" si="7" ref="G9:G17">N9+U9+AB9+AI9</f>
        <v>70646.81999999999</v>
      </c>
      <c r="H9" s="68">
        <f>SUM(F9:G9)</f>
        <v>306136.22</v>
      </c>
      <c r="I9" s="56">
        <f aca="true" t="shared" si="8" ref="I9:I17">P9+W9+AD9+AK9</f>
        <v>0</v>
      </c>
      <c r="J9" s="53">
        <v>0</v>
      </c>
      <c r="K9" s="53">
        <v>0</v>
      </c>
      <c r="L9" s="45">
        <v>0</v>
      </c>
      <c r="M9" s="53">
        <v>64333.4</v>
      </c>
      <c r="N9" s="53">
        <f>M9*0.3</f>
        <v>19300.02</v>
      </c>
      <c r="O9" s="47">
        <f>N9+M9</f>
        <v>83633.42</v>
      </c>
      <c r="P9" s="68">
        <v>0</v>
      </c>
      <c r="Q9" s="53">
        <v>13</v>
      </c>
      <c r="R9" s="53">
        <v>0</v>
      </c>
      <c r="S9" s="45">
        <v>0</v>
      </c>
      <c r="T9" s="53">
        <v>54272</v>
      </c>
      <c r="U9" s="53">
        <f>T9*0.3</f>
        <v>16281.599999999999</v>
      </c>
      <c r="V9" s="47">
        <f>U9+T9</f>
        <v>70553.6</v>
      </c>
      <c r="W9" s="68">
        <v>0</v>
      </c>
      <c r="X9" s="53">
        <v>14</v>
      </c>
      <c r="Y9" s="53">
        <v>0</v>
      </c>
      <c r="Z9" s="45">
        <v>0</v>
      </c>
      <c r="AA9" s="53">
        <v>60887</v>
      </c>
      <c r="AB9" s="53">
        <f>AA9*0.3</f>
        <v>18266.1</v>
      </c>
      <c r="AC9" s="47">
        <f>AB9+AA9</f>
        <v>79153.1</v>
      </c>
      <c r="AD9" s="68">
        <v>0</v>
      </c>
      <c r="AE9" s="53">
        <v>20</v>
      </c>
      <c r="AF9" s="53">
        <v>0</v>
      </c>
      <c r="AG9" s="45">
        <v>0</v>
      </c>
      <c r="AH9" s="53">
        <v>55997</v>
      </c>
      <c r="AI9" s="53">
        <f>AH9*0.3</f>
        <v>16799.1</v>
      </c>
      <c r="AJ9" s="47">
        <f>AI9+AH9</f>
        <v>72796.1</v>
      </c>
      <c r="AK9" s="68">
        <v>0</v>
      </c>
    </row>
    <row r="10" spans="1:37" s="3" customFormat="1" ht="18.75" customHeight="1">
      <c r="A10" s="5">
        <v>2</v>
      </c>
      <c r="B10" s="36" t="s">
        <v>66</v>
      </c>
      <c r="C10" s="56">
        <f t="shared" si="4"/>
        <v>0</v>
      </c>
      <c r="D10" s="56">
        <f t="shared" si="5"/>
        <v>0</v>
      </c>
      <c r="E10" s="56"/>
      <c r="F10" s="56">
        <f t="shared" si="6"/>
        <v>17838.1</v>
      </c>
      <c r="G10" s="56">
        <f t="shared" si="7"/>
        <v>5351.43</v>
      </c>
      <c r="H10" s="68">
        <f aca="true" t="shared" si="9" ref="H10:H17">SUM(F10:G10)</f>
        <v>23189.53</v>
      </c>
      <c r="I10" s="56">
        <f t="shared" si="8"/>
        <v>0</v>
      </c>
      <c r="J10" s="45"/>
      <c r="K10" s="45"/>
      <c r="L10" s="45"/>
      <c r="M10" s="53">
        <v>11758.6</v>
      </c>
      <c r="N10" s="53">
        <f aca="true" t="shared" si="10" ref="N10:N17">M10*0.3</f>
        <v>3527.58</v>
      </c>
      <c r="O10" s="47">
        <f aca="true" t="shared" si="11" ref="O10:O17">N10+M10</f>
        <v>15286.18</v>
      </c>
      <c r="P10" s="68">
        <v>0</v>
      </c>
      <c r="Q10" s="45"/>
      <c r="R10" s="45"/>
      <c r="S10" s="45"/>
      <c r="T10" s="53">
        <v>1983.4</v>
      </c>
      <c r="U10" s="53">
        <f aca="true" t="shared" si="12" ref="U10:U17">T10*0.3</f>
        <v>595.02</v>
      </c>
      <c r="V10" s="47">
        <f aca="true" t="shared" si="13" ref="V10:V17">U10+T10</f>
        <v>2578.42</v>
      </c>
      <c r="W10" s="68">
        <v>0</v>
      </c>
      <c r="X10" s="45"/>
      <c r="Y10" s="45"/>
      <c r="Z10" s="45"/>
      <c r="AA10" s="53">
        <v>2086.8</v>
      </c>
      <c r="AB10" s="53">
        <f aca="true" t="shared" si="14" ref="AB10:AB17">AA10*0.3</f>
        <v>626.0400000000001</v>
      </c>
      <c r="AC10" s="47">
        <f aca="true" t="shared" si="15" ref="AC10:AC17">AB10+AA10</f>
        <v>2712.84</v>
      </c>
      <c r="AD10" s="68">
        <v>0</v>
      </c>
      <c r="AE10" s="45"/>
      <c r="AF10" s="45"/>
      <c r="AG10" s="45"/>
      <c r="AH10" s="53">
        <v>2009.3</v>
      </c>
      <c r="AI10" s="53">
        <f aca="true" t="shared" si="16" ref="AI10:AI17">AH10*0.3</f>
        <v>602.79</v>
      </c>
      <c r="AJ10" s="47">
        <f aca="true" t="shared" si="17" ref="AJ10:AJ17">AI10+AH10</f>
        <v>2612.09</v>
      </c>
      <c r="AK10" s="68">
        <v>0</v>
      </c>
    </row>
    <row r="11" spans="1:37" s="3" customFormat="1" ht="18.75" customHeight="1">
      <c r="A11" s="5">
        <v>3</v>
      </c>
      <c r="B11" s="36" t="s">
        <v>67</v>
      </c>
      <c r="C11" s="56">
        <f t="shared" si="4"/>
        <v>0</v>
      </c>
      <c r="D11" s="56">
        <f t="shared" si="5"/>
        <v>0</v>
      </c>
      <c r="E11" s="56"/>
      <c r="F11" s="56">
        <f t="shared" si="6"/>
        <v>18714.3</v>
      </c>
      <c r="G11" s="56">
        <f t="shared" si="7"/>
        <v>5614.29</v>
      </c>
      <c r="H11" s="68">
        <f t="shared" si="9"/>
        <v>24328.59</v>
      </c>
      <c r="I11" s="56">
        <f t="shared" si="8"/>
        <v>0</v>
      </c>
      <c r="J11" s="45"/>
      <c r="K11" s="45"/>
      <c r="L11" s="45"/>
      <c r="M11" s="53">
        <v>4898.4</v>
      </c>
      <c r="N11" s="53">
        <f t="shared" si="10"/>
        <v>1469.5199999999998</v>
      </c>
      <c r="O11" s="47">
        <f t="shared" si="11"/>
        <v>6367.919999999999</v>
      </c>
      <c r="P11" s="68">
        <v>0</v>
      </c>
      <c r="Q11" s="45"/>
      <c r="R11" s="45"/>
      <c r="S11" s="45"/>
      <c r="T11" s="53">
        <v>4605.3</v>
      </c>
      <c r="U11" s="53">
        <f t="shared" si="12"/>
        <v>1381.59</v>
      </c>
      <c r="V11" s="47">
        <f t="shared" si="13"/>
        <v>5986.89</v>
      </c>
      <c r="W11" s="68">
        <v>0</v>
      </c>
      <c r="X11" s="45"/>
      <c r="Y11" s="45"/>
      <c r="Z11" s="45"/>
      <c r="AA11" s="53">
        <v>4605.3</v>
      </c>
      <c r="AB11" s="53">
        <f t="shared" si="14"/>
        <v>1381.59</v>
      </c>
      <c r="AC11" s="47">
        <f t="shared" si="15"/>
        <v>5986.89</v>
      </c>
      <c r="AD11" s="68"/>
      <c r="AE11" s="45"/>
      <c r="AF11" s="45"/>
      <c r="AG11" s="45"/>
      <c r="AH11" s="53">
        <v>4605.3</v>
      </c>
      <c r="AI11" s="53">
        <f t="shared" si="16"/>
        <v>1381.59</v>
      </c>
      <c r="AJ11" s="47">
        <f t="shared" si="17"/>
        <v>5986.89</v>
      </c>
      <c r="AK11" s="68"/>
    </row>
    <row r="12" spans="1:37" s="3" customFormat="1" ht="18.75" customHeight="1">
      <c r="A12" s="5">
        <v>4</v>
      </c>
      <c r="B12" s="36" t="s">
        <v>68</v>
      </c>
      <c r="C12" s="56">
        <f t="shared" si="4"/>
        <v>0</v>
      </c>
      <c r="D12" s="56">
        <f t="shared" si="5"/>
        <v>0</v>
      </c>
      <c r="E12" s="56"/>
      <c r="F12" s="56">
        <f t="shared" si="6"/>
        <v>3122.6000000000004</v>
      </c>
      <c r="G12" s="56">
        <f t="shared" si="7"/>
        <v>936.78</v>
      </c>
      <c r="H12" s="68">
        <f t="shared" si="9"/>
        <v>4059.38</v>
      </c>
      <c r="I12" s="56">
        <f t="shared" si="8"/>
        <v>0</v>
      </c>
      <c r="J12" s="45"/>
      <c r="K12" s="45"/>
      <c r="L12" s="45"/>
      <c r="M12" s="53">
        <v>820.5</v>
      </c>
      <c r="N12" s="53">
        <f t="shared" si="10"/>
        <v>246.14999999999998</v>
      </c>
      <c r="O12" s="47">
        <f t="shared" si="11"/>
        <v>1066.65</v>
      </c>
      <c r="P12" s="68">
        <v>0</v>
      </c>
      <c r="Q12" s="45"/>
      <c r="R12" s="45"/>
      <c r="S12" s="45"/>
      <c r="T12" s="53">
        <v>823.7</v>
      </c>
      <c r="U12" s="53">
        <f t="shared" si="12"/>
        <v>247.11</v>
      </c>
      <c r="V12" s="47">
        <f t="shared" si="13"/>
        <v>1070.81</v>
      </c>
      <c r="W12" s="68">
        <v>0</v>
      </c>
      <c r="X12" s="45"/>
      <c r="Y12" s="45"/>
      <c r="Z12" s="45"/>
      <c r="AA12" s="53">
        <v>739.2</v>
      </c>
      <c r="AB12" s="53">
        <f t="shared" si="14"/>
        <v>221.76000000000002</v>
      </c>
      <c r="AC12" s="47">
        <f t="shared" si="15"/>
        <v>960.96</v>
      </c>
      <c r="AD12" s="68"/>
      <c r="AE12" s="45"/>
      <c r="AF12" s="45"/>
      <c r="AG12" s="45"/>
      <c r="AH12" s="53">
        <v>739.2</v>
      </c>
      <c r="AI12" s="53">
        <f t="shared" si="16"/>
        <v>221.76000000000002</v>
      </c>
      <c r="AJ12" s="47">
        <f t="shared" si="17"/>
        <v>960.96</v>
      </c>
      <c r="AK12" s="68"/>
    </row>
    <row r="13" spans="1:37" s="3" customFormat="1" ht="18.75" customHeight="1">
      <c r="A13" s="5">
        <v>5</v>
      </c>
      <c r="B13" s="36" t="s">
        <v>69</v>
      </c>
      <c r="C13" s="56">
        <f t="shared" si="4"/>
        <v>0</v>
      </c>
      <c r="D13" s="56">
        <f t="shared" si="5"/>
        <v>0</v>
      </c>
      <c r="E13" s="56"/>
      <c r="F13" s="56">
        <f t="shared" si="6"/>
        <v>1402.9</v>
      </c>
      <c r="G13" s="56">
        <f t="shared" si="7"/>
        <v>420.86999999999995</v>
      </c>
      <c r="H13" s="68">
        <f t="shared" si="9"/>
        <v>1823.77</v>
      </c>
      <c r="I13" s="56">
        <f t="shared" si="8"/>
        <v>0</v>
      </c>
      <c r="J13" s="45"/>
      <c r="K13" s="45"/>
      <c r="L13" s="45"/>
      <c r="M13" s="53">
        <v>320.2</v>
      </c>
      <c r="N13" s="53">
        <f t="shared" si="10"/>
        <v>96.05999999999999</v>
      </c>
      <c r="O13" s="47">
        <f t="shared" si="11"/>
        <v>416.26</v>
      </c>
      <c r="P13" s="68">
        <v>0</v>
      </c>
      <c r="Q13" s="45"/>
      <c r="R13" s="45"/>
      <c r="S13" s="45"/>
      <c r="T13" s="53">
        <v>360.9</v>
      </c>
      <c r="U13" s="53">
        <f t="shared" si="12"/>
        <v>108.27</v>
      </c>
      <c r="V13" s="47">
        <f t="shared" si="13"/>
        <v>469.16999999999996</v>
      </c>
      <c r="W13" s="68">
        <v>0</v>
      </c>
      <c r="X13" s="45"/>
      <c r="Y13" s="45"/>
      <c r="Z13" s="45"/>
      <c r="AA13" s="53">
        <v>360.9</v>
      </c>
      <c r="AB13" s="53">
        <f t="shared" si="14"/>
        <v>108.27</v>
      </c>
      <c r="AC13" s="47">
        <f t="shared" si="15"/>
        <v>469.16999999999996</v>
      </c>
      <c r="AD13" s="68"/>
      <c r="AE13" s="45"/>
      <c r="AF13" s="45"/>
      <c r="AG13" s="45"/>
      <c r="AH13" s="53">
        <v>360.9</v>
      </c>
      <c r="AI13" s="53">
        <f t="shared" si="16"/>
        <v>108.27</v>
      </c>
      <c r="AJ13" s="47">
        <f t="shared" si="17"/>
        <v>469.16999999999996</v>
      </c>
      <c r="AK13" s="68"/>
    </row>
    <row r="14" spans="1:37" s="3" customFormat="1" ht="18.75" customHeight="1">
      <c r="A14" s="5">
        <v>6</v>
      </c>
      <c r="B14" s="36" t="s">
        <v>70</v>
      </c>
      <c r="C14" s="56">
        <f t="shared" si="4"/>
        <v>0</v>
      </c>
      <c r="D14" s="56">
        <f t="shared" si="5"/>
        <v>0</v>
      </c>
      <c r="E14" s="56"/>
      <c r="F14" s="56">
        <f t="shared" si="6"/>
        <v>4279.6</v>
      </c>
      <c r="G14" s="56">
        <f t="shared" si="7"/>
        <v>1283.8799999999999</v>
      </c>
      <c r="H14" s="68">
        <f t="shared" si="9"/>
        <v>5563.4800000000005</v>
      </c>
      <c r="I14" s="56">
        <f t="shared" si="8"/>
        <v>0</v>
      </c>
      <c r="J14" s="45"/>
      <c r="K14" s="45"/>
      <c r="L14" s="45"/>
      <c r="M14" s="53">
        <v>812.3</v>
      </c>
      <c r="N14" s="53">
        <f t="shared" si="10"/>
        <v>243.68999999999997</v>
      </c>
      <c r="O14" s="47">
        <f t="shared" si="11"/>
        <v>1055.99</v>
      </c>
      <c r="P14" s="68">
        <v>0</v>
      </c>
      <c r="Q14" s="45"/>
      <c r="R14" s="45"/>
      <c r="S14" s="45"/>
      <c r="T14" s="53">
        <v>1107.7</v>
      </c>
      <c r="U14" s="53">
        <f t="shared" si="12"/>
        <v>332.31</v>
      </c>
      <c r="V14" s="47">
        <f t="shared" si="13"/>
        <v>1440.01</v>
      </c>
      <c r="W14" s="68">
        <v>0</v>
      </c>
      <c r="X14" s="45"/>
      <c r="Y14" s="45"/>
      <c r="Z14" s="45"/>
      <c r="AA14" s="53">
        <v>1204.4</v>
      </c>
      <c r="AB14" s="53">
        <f t="shared" si="14"/>
        <v>361.32</v>
      </c>
      <c r="AC14" s="47">
        <f t="shared" si="15"/>
        <v>1565.72</v>
      </c>
      <c r="AD14" s="68"/>
      <c r="AE14" s="45"/>
      <c r="AF14" s="45"/>
      <c r="AG14" s="45"/>
      <c r="AH14" s="53">
        <v>1155.2</v>
      </c>
      <c r="AI14" s="53">
        <f t="shared" si="16"/>
        <v>346.56</v>
      </c>
      <c r="AJ14" s="47">
        <f t="shared" si="17"/>
        <v>1501.76</v>
      </c>
      <c r="AK14" s="68"/>
    </row>
    <row r="15" spans="1:37" s="3" customFormat="1" ht="18.75" customHeight="1">
      <c r="A15" s="5">
        <v>7</v>
      </c>
      <c r="B15" s="36" t="s">
        <v>71</v>
      </c>
      <c r="C15" s="56">
        <f t="shared" si="4"/>
        <v>0</v>
      </c>
      <c r="D15" s="56">
        <f t="shared" si="5"/>
        <v>0</v>
      </c>
      <c r="E15" s="56"/>
      <c r="F15" s="56">
        <f t="shared" si="6"/>
        <v>5257.6</v>
      </c>
      <c r="G15" s="56">
        <f t="shared" si="7"/>
        <v>1577.28</v>
      </c>
      <c r="H15" s="68">
        <f t="shared" si="9"/>
        <v>6834.88</v>
      </c>
      <c r="I15" s="56">
        <f t="shared" si="8"/>
        <v>0</v>
      </c>
      <c r="J15" s="45"/>
      <c r="K15" s="45"/>
      <c r="L15" s="45"/>
      <c r="M15" s="53">
        <v>1227.6</v>
      </c>
      <c r="N15" s="53">
        <f t="shared" si="10"/>
        <v>368.28</v>
      </c>
      <c r="O15" s="47">
        <f t="shared" si="11"/>
        <v>1595.8799999999999</v>
      </c>
      <c r="P15" s="68">
        <v>0</v>
      </c>
      <c r="Q15" s="45"/>
      <c r="R15" s="45"/>
      <c r="S15" s="45"/>
      <c r="T15" s="53">
        <v>1320</v>
      </c>
      <c r="U15" s="53">
        <f t="shared" si="12"/>
        <v>396</v>
      </c>
      <c r="V15" s="47">
        <f t="shared" si="13"/>
        <v>1716</v>
      </c>
      <c r="W15" s="68">
        <v>0</v>
      </c>
      <c r="X15" s="45"/>
      <c r="Y15" s="45"/>
      <c r="Z15" s="45"/>
      <c r="AA15" s="53">
        <v>1330</v>
      </c>
      <c r="AB15" s="53">
        <f t="shared" si="14"/>
        <v>399</v>
      </c>
      <c r="AC15" s="47">
        <f t="shared" si="15"/>
        <v>1729</v>
      </c>
      <c r="AD15" s="68">
        <v>0</v>
      </c>
      <c r="AE15" s="45"/>
      <c r="AF15" s="45"/>
      <c r="AG15" s="45"/>
      <c r="AH15" s="53">
        <v>1380</v>
      </c>
      <c r="AI15" s="53">
        <f t="shared" si="16"/>
        <v>414</v>
      </c>
      <c r="AJ15" s="47">
        <f t="shared" si="17"/>
        <v>1794</v>
      </c>
      <c r="AK15" s="68">
        <v>0</v>
      </c>
    </row>
    <row r="16" spans="1:37" s="3" customFormat="1" ht="18.75" customHeight="1">
      <c r="A16" s="5">
        <v>8</v>
      </c>
      <c r="B16" s="36" t="s">
        <v>72</v>
      </c>
      <c r="C16" s="56">
        <f t="shared" si="4"/>
        <v>0</v>
      </c>
      <c r="D16" s="56">
        <f t="shared" si="5"/>
        <v>0</v>
      </c>
      <c r="E16" s="56"/>
      <c r="F16" s="56">
        <f t="shared" si="6"/>
        <v>559.6</v>
      </c>
      <c r="G16" s="56">
        <f t="shared" si="7"/>
        <v>167.88</v>
      </c>
      <c r="H16" s="68">
        <f t="shared" si="9"/>
        <v>727.48</v>
      </c>
      <c r="I16" s="56">
        <f t="shared" si="8"/>
        <v>0</v>
      </c>
      <c r="J16" s="45"/>
      <c r="K16" s="45"/>
      <c r="L16" s="45"/>
      <c r="M16" s="53">
        <v>139.9</v>
      </c>
      <c r="N16" s="53">
        <f t="shared" si="10"/>
        <v>41.97</v>
      </c>
      <c r="O16" s="47">
        <f t="shared" si="11"/>
        <v>181.87</v>
      </c>
      <c r="P16" s="68">
        <v>0</v>
      </c>
      <c r="Q16" s="45"/>
      <c r="R16" s="45"/>
      <c r="S16" s="45"/>
      <c r="T16" s="53">
        <v>139.9</v>
      </c>
      <c r="U16" s="53">
        <f t="shared" si="12"/>
        <v>41.97</v>
      </c>
      <c r="V16" s="47">
        <f t="shared" si="13"/>
        <v>181.87</v>
      </c>
      <c r="W16" s="68">
        <v>0</v>
      </c>
      <c r="X16" s="45"/>
      <c r="Y16" s="45"/>
      <c r="Z16" s="45"/>
      <c r="AA16" s="53">
        <v>139.9</v>
      </c>
      <c r="AB16" s="53">
        <f t="shared" si="14"/>
        <v>41.97</v>
      </c>
      <c r="AC16" s="47">
        <f t="shared" si="15"/>
        <v>181.87</v>
      </c>
      <c r="AD16" s="68"/>
      <c r="AE16" s="45"/>
      <c r="AF16" s="45"/>
      <c r="AG16" s="45"/>
      <c r="AH16" s="53">
        <v>139.9</v>
      </c>
      <c r="AI16" s="53">
        <f t="shared" si="16"/>
        <v>41.97</v>
      </c>
      <c r="AJ16" s="47">
        <f t="shared" si="17"/>
        <v>181.87</v>
      </c>
      <c r="AK16" s="68"/>
    </row>
    <row r="17" spans="1:37" s="3" customFormat="1" ht="18.75" customHeight="1">
      <c r="A17" s="5">
        <v>9</v>
      </c>
      <c r="B17" s="36" t="s">
        <v>73</v>
      </c>
      <c r="C17" s="56">
        <f t="shared" si="4"/>
        <v>0</v>
      </c>
      <c r="D17" s="56">
        <f t="shared" si="5"/>
        <v>0</v>
      </c>
      <c r="E17" s="56"/>
      <c r="F17" s="56">
        <f t="shared" si="6"/>
        <v>3440.8</v>
      </c>
      <c r="G17" s="56">
        <f t="shared" si="7"/>
        <v>1032.24</v>
      </c>
      <c r="H17" s="68">
        <f t="shared" si="9"/>
        <v>4473.04</v>
      </c>
      <c r="I17" s="56">
        <f t="shared" si="8"/>
        <v>0</v>
      </c>
      <c r="J17" s="45"/>
      <c r="K17" s="45"/>
      <c r="L17" s="45"/>
      <c r="M17" s="53">
        <v>1092.8</v>
      </c>
      <c r="N17" s="53">
        <f t="shared" si="10"/>
        <v>327.84</v>
      </c>
      <c r="O17" s="47">
        <f t="shared" si="11"/>
        <v>1420.6399999999999</v>
      </c>
      <c r="P17" s="68">
        <v>0</v>
      </c>
      <c r="Q17" s="45"/>
      <c r="R17" s="45"/>
      <c r="S17" s="45"/>
      <c r="T17" s="53">
        <v>778</v>
      </c>
      <c r="U17" s="53">
        <f t="shared" si="12"/>
        <v>233.39999999999998</v>
      </c>
      <c r="V17" s="47">
        <f t="shared" si="13"/>
        <v>1011.4</v>
      </c>
      <c r="W17" s="68">
        <v>0</v>
      </c>
      <c r="X17" s="45"/>
      <c r="Y17" s="45"/>
      <c r="Z17" s="45"/>
      <c r="AA17" s="53">
        <v>788</v>
      </c>
      <c r="AB17" s="53">
        <f t="shared" si="14"/>
        <v>236.39999999999998</v>
      </c>
      <c r="AC17" s="47">
        <f t="shared" si="15"/>
        <v>1024.4</v>
      </c>
      <c r="AD17" s="68"/>
      <c r="AE17" s="45"/>
      <c r="AF17" s="45"/>
      <c r="AG17" s="45"/>
      <c r="AH17" s="53">
        <v>782</v>
      </c>
      <c r="AI17" s="53">
        <f t="shared" si="16"/>
        <v>234.6</v>
      </c>
      <c r="AJ17" s="47">
        <f t="shared" si="17"/>
        <v>1016.6</v>
      </c>
      <c r="AK17" s="68"/>
    </row>
    <row r="18" spans="1:37" s="3" customFormat="1" ht="41.25" customHeight="1">
      <c r="A18" s="42" t="s">
        <v>76</v>
      </c>
      <c r="B18" s="37" t="s">
        <v>63</v>
      </c>
      <c r="C18" s="49">
        <f>SUM(C19:C29)</f>
        <v>97</v>
      </c>
      <c r="D18" s="49">
        <f>SUM(D19:D29)</f>
        <v>63.86</v>
      </c>
      <c r="E18" s="49">
        <f>D18/C18*100</f>
        <v>65.83505154639175</v>
      </c>
      <c r="F18" s="49">
        <f aca="true" t="shared" si="18" ref="F18:F49">M18+T18+AA18+AH18</f>
        <v>495389.4244457478</v>
      </c>
      <c r="G18" s="49">
        <f>F18*0.3</f>
        <v>148616.82733372433</v>
      </c>
      <c r="H18" s="49">
        <f>SUM(F18:G18)</f>
        <v>644006.2517794721</v>
      </c>
      <c r="I18" s="49">
        <f>SUM(I19:I29)</f>
        <v>3798</v>
      </c>
      <c r="J18" s="49">
        <f>SUM(J19:J29)</f>
        <v>13.799999999999999</v>
      </c>
      <c r="K18" s="49">
        <f>SUM(K19:K29)</f>
        <v>14.110000000000001</v>
      </c>
      <c r="L18" s="49">
        <f>K18/J18*100</f>
        <v>102.24637681159423</v>
      </c>
      <c r="M18" s="49">
        <f>SUM(M19:M29)</f>
        <v>136627.41600000003</v>
      </c>
      <c r="N18" s="49">
        <f>M18*0.3</f>
        <v>40988.2248</v>
      </c>
      <c r="O18" s="49">
        <f>SUM(M18:N18)</f>
        <v>177615.64080000002</v>
      </c>
      <c r="P18" s="49">
        <f>SUM(P19:P29)</f>
        <v>0</v>
      </c>
      <c r="Q18" s="49">
        <f>SUM(Q19:Q29)</f>
        <v>26</v>
      </c>
      <c r="R18" s="49">
        <f>SUM(R19:R29)</f>
        <v>18</v>
      </c>
      <c r="S18" s="49">
        <f>_xlfn.IFERROR(R18/Q18*100,0)</f>
        <v>69.23076923076923</v>
      </c>
      <c r="T18" s="49">
        <f>SUM(T19:T29)</f>
        <v>121449.46451612902</v>
      </c>
      <c r="U18" s="49">
        <f>T18*0.3</f>
        <v>36434.8393548387</v>
      </c>
      <c r="V18" s="49">
        <f>SUM(T18:U18)</f>
        <v>157884.30387096773</v>
      </c>
      <c r="W18" s="49">
        <f>SUM(W19:W29)</f>
        <v>0</v>
      </c>
      <c r="X18" s="49">
        <f>SUM(X19:X29)</f>
        <v>32.2</v>
      </c>
      <c r="Y18" s="49">
        <f>SUM(Y19:Y29)</f>
        <v>18.7</v>
      </c>
      <c r="Z18" s="49">
        <f>Y18/X18*100</f>
        <v>58.074534161490675</v>
      </c>
      <c r="AA18" s="49">
        <f>SUM(AA19:AA29)</f>
        <v>123722.64</v>
      </c>
      <c r="AB18" s="49">
        <f>AA18*0.3</f>
        <v>37116.792</v>
      </c>
      <c r="AC18" s="49">
        <f>SUM(AA18:AB18)</f>
        <v>160839.432</v>
      </c>
      <c r="AD18" s="49">
        <f>SUM(AD19:AD29)</f>
        <v>0</v>
      </c>
      <c r="AE18" s="49">
        <f>SUM(AE19:AE29)</f>
        <v>25</v>
      </c>
      <c r="AF18" s="49">
        <f>SUM(AF19:AF29)</f>
        <v>13.049999999999999</v>
      </c>
      <c r="AG18" s="49">
        <f>AF18/AE18*100</f>
        <v>52.19999999999999</v>
      </c>
      <c r="AH18" s="49">
        <f>SUM(AH19:AH29)</f>
        <v>113589.90392961875</v>
      </c>
      <c r="AI18" s="49">
        <f>AH18*0.3</f>
        <v>34076.97117888562</v>
      </c>
      <c r="AJ18" s="49">
        <f>SUM(AH18:AI18)</f>
        <v>147666.87510850438</v>
      </c>
      <c r="AK18" s="49">
        <f>SUM(AK19:AK29)</f>
        <v>3798</v>
      </c>
    </row>
    <row r="19" spans="1:37" s="3" customFormat="1" ht="18.75" customHeight="1">
      <c r="A19" s="5">
        <v>1</v>
      </c>
      <c r="B19" s="61" t="s">
        <v>80</v>
      </c>
      <c r="C19" s="56">
        <f aca="true" t="shared" si="19" ref="C19:C29">J19+Q19+X19+AE19</f>
        <v>20.4</v>
      </c>
      <c r="D19" s="56">
        <f aca="true" t="shared" si="20" ref="D19:D29">K19+R19+Y19+AF19</f>
        <v>21.509999999999998</v>
      </c>
      <c r="E19" s="52">
        <f>D19/C19*100</f>
        <v>105.44117647058823</v>
      </c>
      <c r="F19" s="49">
        <f t="shared" si="18"/>
        <v>46812.600000000006</v>
      </c>
      <c r="G19" s="49">
        <f aca="true" t="shared" si="21" ref="G19:G29">N19+U19+AB19+AI19</f>
        <v>14043.779999999999</v>
      </c>
      <c r="H19" s="49">
        <f>SUM(F19:G19)</f>
        <v>60856.380000000005</v>
      </c>
      <c r="I19" s="56">
        <f aca="true" t="shared" si="22" ref="I19:I29">P19+W19+AD19+AK19</f>
        <v>3798</v>
      </c>
      <c r="J19" s="59">
        <v>5.7</v>
      </c>
      <c r="K19" s="52">
        <v>5.81</v>
      </c>
      <c r="L19" s="52">
        <v>101.92982456140349</v>
      </c>
      <c r="M19" s="49">
        <v>12760.2</v>
      </c>
      <c r="N19" s="49">
        <v>3828.06</v>
      </c>
      <c r="O19" s="49">
        <v>16588.260000000002</v>
      </c>
      <c r="P19" s="68">
        <v>0</v>
      </c>
      <c r="Q19" s="59">
        <v>8</v>
      </c>
      <c r="R19" s="52">
        <v>7</v>
      </c>
      <c r="S19" s="52">
        <v>87.5</v>
      </c>
      <c r="T19" s="49">
        <v>11584.2</v>
      </c>
      <c r="U19" s="49">
        <v>3475.26</v>
      </c>
      <c r="V19" s="49">
        <v>15059.460000000001</v>
      </c>
      <c r="W19" s="49">
        <v>0</v>
      </c>
      <c r="X19" s="49">
        <v>6.7</v>
      </c>
      <c r="Y19" s="49">
        <v>7</v>
      </c>
      <c r="Z19" s="49">
        <v>104.4776119402985</v>
      </c>
      <c r="AA19" s="49">
        <v>11753.2</v>
      </c>
      <c r="AB19" s="49">
        <v>3525.96</v>
      </c>
      <c r="AC19" s="49">
        <v>15279.16</v>
      </c>
      <c r="AD19" s="49">
        <v>0</v>
      </c>
      <c r="AE19" s="49">
        <v>0</v>
      </c>
      <c r="AF19" s="49">
        <v>1.7</v>
      </c>
      <c r="AG19" s="49">
        <v>0</v>
      </c>
      <c r="AH19" s="49">
        <v>10715</v>
      </c>
      <c r="AI19" s="49">
        <v>3214.5</v>
      </c>
      <c r="AJ19" s="49">
        <v>13929.5</v>
      </c>
      <c r="AK19" s="68">
        <v>3798</v>
      </c>
    </row>
    <row r="20" spans="1:37" s="3" customFormat="1" ht="18.75" customHeight="1">
      <c r="A20" s="5">
        <v>2</v>
      </c>
      <c r="B20" s="61" t="s">
        <v>81</v>
      </c>
      <c r="C20" s="56">
        <f t="shared" si="19"/>
        <v>50.5</v>
      </c>
      <c r="D20" s="56">
        <f t="shared" si="20"/>
        <v>28.200000000000003</v>
      </c>
      <c r="E20" s="52">
        <f>D20/C20*100</f>
        <v>55.84158415841585</v>
      </c>
      <c r="F20" s="49">
        <f t="shared" si="18"/>
        <v>93751.4</v>
      </c>
      <c r="G20" s="49">
        <f t="shared" si="21"/>
        <v>28125.42</v>
      </c>
      <c r="H20" s="49">
        <f aca="true" t="shared" si="23" ref="H20:H28">SUM(F20:G20)</f>
        <v>121876.81999999999</v>
      </c>
      <c r="I20" s="56">
        <f t="shared" si="22"/>
        <v>0</v>
      </c>
      <c r="J20" s="59">
        <v>6</v>
      </c>
      <c r="K20" s="52">
        <v>6.15</v>
      </c>
      <c r="L20" s="52">
        <v>102.50000000000001</v>
      </c>
      <c r="M20" s="49">
        <v>26397.4</v>
      </c>
      <c r="N20" s="49">
        <v>7919.22</v>
      </c>
      <c r="O20" s="49">
        <v>34316.62</v>
      </c>
      <c r="P20" s="68">
        <v>0</v>
      </c>
      <c r="Q20" s="59">
        <v>10</v>
      </c>
      <c r="R20" s="52">
        <v>7</v>
      </c>
      <c r="S20" s="52">
        <v>70</v>
      </c>
      <c r="T20" s="49">
        <v>21653</v>
      </c>
      <c r="U20" s="49">
        <v>6495.9</v>
      </c>
      <c r="V20" s="49">
        <v>28148.9</v>
      </c>
      <c r="W20" s="49">
        <v>0</v>
      </c>
      <c r="X20" s="49">
        <v>17.5</v>
      </c>
      <c r="Y20" s="49">
        <v>7.7</v>
      </c>
      <c r="Z20" s="49">
        <v>44</v>
      </c>
      <c r="AA20" s="49">
        <v>23879</v>
      </c>
      <c r="AB20" s="49">
        <v>7163.7</v>
      </c>
      <c r="AC20" s="49">
        <v>31042.7</v>
      </c>
      <c r="AD20" s="49">
        <v>0</v>
      </c>
      <c r="AE20" s="49">
        <v>17</v>
      </c>
      <c r="AF20" s="49">
        <v>7.35</v>
      </c>
      <c r="AG20" s="49">
        <v>43.23529411764706</v>
      </c>
      <c r="AH20" s="49">
        <v>21822</v>
      </c>
      <c r="AI20" s="49">
        <v>6546.599999999999</v>
      </c>
      <c r="AJ20" s="49">
        <v>28368.6</v>
      </c>
      <c r="AK20" s="68">
        <v>0</v>
      </c>
    </row>
    <row r="21" spans="1:37" s="3" customFormat="1" ht="18.75" customHeight="1">
      <c r="A21" s="5">
        <v>3</v>
      </c>
      <c r="B21" s="61" t="s">
        <v>82</v>
      </c>
      <c r="C21" s="56">
        <f t="shared" si="19"/>
        <v>0</v>
      </c>
      <c r="D21" s="56">
        <f t="shared" si="20"/>
        <v>0</v>
      </c>
      <c r="E21" s="52"/>
      <c r="F21" s="49">
        <f t="shared" si="18"/>
        <v>48986.979999999996</v>
      </c>
      <c r="G21" s="49">
        <f t="shared" si="21"/>
        <v>14696.094</v>
      </c>
      <c r="H21" s="49">
        <f t="shared" si="23"/>
        <v>63683.07399999999</v>
      </c>
      <c r="I21" s="56">
        <f t="shared" si="22"/>
        <v>0</v>
      </c>
      <c r="J21" s="59">
        <v>0</v>
      </c>
      <c r="K21" s="52">
        <v>0</v>
      </c>
      <c r="L21" s="52">
        <v>0</v>
      </c>
      <c r="M21" s="49">
        <v>14403.3</v>
      </c>
      <c r="N21" s="49">
        <v>4320.99</v>
      </c>
      <c r="O21" s="49">
        <v>18724.29</v>
      </c>
      <c r="P21" s="68">
        <v>0</v>
      </c>
      <c r="Q21" s="59">
        <v>0</v>
      </c>
      <c r="R21" s="52">
        <v>0</v>
      </c>
      <c r="S21" s="52">
        <v>0</v>
      </c>
      <c r="T21" s="49">
        <v>12684.199999999999</v>
      </c>
      <c r="U21" s="49">
        <v>3805.2599999999993</v>
      </c>
      <c r="V21" s="49">
        <v>16489.46</v>
      </c>
      <c r="W21" s="49">
        <v>0</v>
      </c>
      <c r="X21" s="49">
        <v>0</v>
      </c>
      <c r="Y21" s="49">
        <v>0</v>
      </c>
      <c r="Z21" s="49">
        <v>0</v>
      </c>
      <c r="AA21" s="49">
        <v>11707.14</v>
      </c>
      <c r="AB21" s="49">
        <v>3512.142</v>
      </c>
      <c r="AC21" s="49">
        <v>15219.282</v>
      </c>
      <c r="AD21" s="49">
        <v>0</v>
      </c>
      <c r="AE21" s="49">
        <v>0</v>
      </c>
      <c r="AF21" s="49">
        <v>0</v>
      </c>
      <c r="AG21" s="49">
        <v>0</v>
      </c>
      <c r="AH21" s="49">
        <v>10192.339999999998</v>
      </c>
      <c r="AI21" s="49">
        <v>3057.7019999999993</v>
      </c>
      <c r="AJ21" s="49">
        <v>13250.041999999998</v>
      </c>
      <c r="AK21" s="68">
        <v>0</v>
      </c>
    </row>
    <row r="22" spans="1:37" s="3" customFormat="1" ht="18.75" customHeight="1">
      <c r="A22" s="5">
        <v>4</v>
      </c>
      <c r="B22" s="61" t="s">
        <v>83</v>
      </c>
      <c r="C22" s="56">
        <f t="shared" si="19"/>
        <v>26.1</v>
      </c>
      <c r="D22" s="56">
        <f t="shared" si="20"/>
        <v>14.15</v>
      </c>
      <c r="E22" s="52">
        <f>D22/C22*100</f>
        <v>54.214559386973185</v>
      </c>
      <c r="F22" s="49">
        <f t="shared" si="18"/>
        <v>83908</v>
      </c>
      <c r="G22" s="49">
        <f t="shared" si="21"/>
        <v>25172.399999999998</v>
      </c>
      <c r="H22" s="49">
        <f t="shared" si="23"/>
        <v>109080.4</v>
      </c>
      <c r="I22" s="56">
        <f t="shared" si="22"/>
        <v>0</v>
      </c>
      <c r="J22" s="59">
        <v>2.1</v>
      </c>
      <c r="K22" s="52">
        <v>2.15</v>
      </c>
      <c r="L22" s="52">
        <v>102.38095238095238</v>
      </c>
      <c r="M22" s="49">
        <v>21426.899999999998</v>
      </c>
      <c r="N22" s="49">
        <v>6428.069999999999</v>
      </c>
      <c r="O22" s="49">
        <v>27854.969999999998</v>
      </c>
      <c r="P22" s="68">
        <v>0</v>
      </c>
      <c r="Q22" s="59">
        <v>8</v>
      </c>
      <c r="R22" s="52">
        <v>4</v>
      </c>
      <c r="S22" s="52">
        <v>50</v>
      </c>
      <c r="T22" s="49">
        <v>20501.9</v>
      </c>
      <c r="U22" s="49">
        <v>6150.570000000001</v>
      </c>
      <c r="V22" s="49">
        <v>26652.47</v>
      </c>
      <c r="W22" s="49">
        <v>0</v>
      </c>
      <c r="X22" s="49">
        <v>8</v>
      </c>
      <c r="Y22" s="49">
        <v>4</v>
      </c>
      <c r="Z22" s="49">
        <v>50</v>
      </c>
      <c r="AA22" s="49">
        <v>21306</v>
      </c>
      <c r="AB22" s="49">
        <v>6391.8</v>
      </c>
      <c r="AC22" s="49">
        <v>27697.8</v>
      </c>
      <c r="AD22" s="49">
        <v>0</v>
      </c>
      <c r="AE22" s="49">
        <v>8</v>
      </c>
      <c r="AF22" s="49">
        <v>4</v>
      </c>
      <c r="AG22" s="49">
        <v>50</v>
      </c>
      <c r="AH22" s="49">
        <v>20673.2</v>
      </c>
      <c r="AI22" s="49">
        <v>6201.96</v>
      </c>
      <c r="AJ22" s="49">
        <v>26875.16</v>
      </c>
      <c r="AK22" s="68">
        <v>0</v>
      </c>
    </row>
    <row r="23" spans="1:37" s="3" customFormat="1" ht="18.75" customHeight="1">
      <c r="A23" s="5">
        <v>5</v>
      </c>
      <c r="B23" s="61" t="s">
        <v>84</v>
      </c>
      <c r="C23" s="56">
        <f t="shared" si="19"/>
        <v>0</v>
      </c>
      <c r="D23" s="56">
        <f t="shared" si="20"/>
        <v>0</v>
      </c>
      <c r="E23" s="52"/>
      <c r="F23" s="49">
        <f t="shared" si="18"/>
        <v>54915</v>
      </c>
      <c r="G23" s="49">
        <f t="shared" si="21"/>
        <v>16474.5</v>
      </c>
      <c r="H23" s="49">
        <f t="shared" si="23"/>
        <v>71389.5</v>
      </c>
      <c r="I23" s="56">
        <f t="shared" si="22"/>
        <v>0</v>
      </c>
      <c r="J23" s="59">
        <v>0</v>
      </c>
      <c r="K23" s="52">
        <v>0</v>
      </c>
      <c r="L23" s="52">
        <v>0</v>
      </c>
      <c r="M23" s="49">
        <v>17991.2</v>
      </c>
      <c r="N23" s="49">
        <v>5397.36</v>
      </c>
      <c r="O23" s="49">
        <v>23388.56</v>
      </c>
      <c r="P23" s="68">
        <v>0</v>
      </c>
      <c r="Q23" s="59">
        <v>0</v>
      </c>
      <c r="R23" s="52">
        <v>0</v>
      </c>
      <c r="S23" s="52">
        <v>0</v>
      </c>
      <c r="T23" s="49">
        <v>14260.899999999998</v>
      </c>
      <c r="U23" s="49">
        <v>4278.2699999999995</v>
      </c>
      <c r="V23" s="49">
        <v>18539.17</v>
      </c>
      <c r="W23" s="49">
        <v>0</v>
      </c>
      <c r="X23" s="49">
        <v>0</v>
      </c>
      <c r="Y23" s="49">
        <v>0</v>
      </c>
      <c r="Z23" s="49">
        <v>0</v>
      </c>
      <c r="AA23" s="49">
        <v>12746.400000000001</v>
      </c>
      <c r="AB23" s="49">
        <v>3823.92</v>
      </c>
      <c r="AC23" s="49">
        <v>16570.32</v>
      </c>
      <c r="AD23" s="49">
        <v>0</v>
      </c>
      <c r="AE23" s="49">
        <v>0</v>
      </c>
      <c r="AF23" s="49">
        <v>0</v>
      </c>
      <c r="AG23" s="49">
        <v>0</v>
      </c>
      <c r="AH23" s="49">
        <v>9916.5</v>
      </c>
      <c r="AI23" s="49">
        <v>2974.95</v>
      </c>
      <c r="AJ23" s="49">
        <v>12891.45</v>
      </c>
      <c r="AK23" s="68">
        <v>0</v>
      </c>
    </row>
    <row r="24" spans="1:37" s="3" customFormat="1" ht="18.75" customHeight="1">
      <c r="A24" s="5">
        <v>6</v>
      </c>
      <c r="B24" s="61" t="s">
        <v>85</v>
      </c>
      <c r="C24" s="56">
        <f t="shared" si="19"/>
        <v>0</v>
      </c>
      <c r="D24" s="56">
        <f t="shared" si="20"/>
        <v>0</v>
      </c>
      <c r="E24" s="52"/>
      <c r="F24" s="49">
        <f t="shared" si="18"/>
        <v>36416.9</v>
      </c>
      <c r="G24" s="49">
        <f t="shared" si="21"/>
        <v>10925.07</v>
      </c>
      <c r="H24" s="49">
        <f t="shared" si="23"/>
        <v>47341.97</v>
      </c>
      <c r="I24" s="56">
        <f t="shared" si="22"/>
        <v>0</v>
      </c>
      <c r="J24" s="59">
        <v>0</v>
      </c>
      <c r="K24" s="52">
        <v>0</v>
      </c>
      <c r="L24" s="52">
        <v>0</v>
      </c>
      <c r="M24" s="49">
        <v>9181</v>
      </c>
      <c r="N24" s="49">
        <v>2754.2999999999997</v>
      </c>
      <c r="O24" s="49">
        <v>11935.3</v>
      </c>
      <c r="P24" s="68">
        <v>0</v>
      </c>
      <c r="Q24" s="59">
        <v>0</v>
      </c>
      <c r="R24" s="52">
        <v>0</v>
      </c>
      <c r="S24" s="52">
        <v>0</v>
      </c>
      <c r="T24" s="49">
        <v>8970.900000000001</v>
      </c>
      <c r="U24" s="49">
        <v>2691.2700000000004</v>
      </c>
      <c r="V24" s="49">
        <v>11662.170000000002</v>
      </c>
      <c r="W24" s="49">
        <v>0</v>
      </c>
      <c r="X24" s="49">
        <v>0</v>
      </c>
      <c r="Y24" s="49">
        <v>0</v>
      </c>
      <c r="Z24" s="49">
        <v>0</v>
      </c>
      <c r="AA24" s="49">
        <v>9202.2</v>
      </c>
      <c r="AB24" s="49">
        <v>2760.6600000000003</v>
      </c>
      <c r="AC24" s="49">
        <v>11962.86</v>
      </c>
      <c r="AD24" s="49">
        <v>0</v>
      </c>
      <c r="AE24" s="49">
        <v>0</v>
      </c>
      <c r="AF24" s="49">
        <v>0</v>
      </c>
      <c r="AG24" s="49">
        <v>0</v>
      </c>
      <c r="AH24" s="49">
        <v>9062.8</v>
      </c>
      <c r="AI24" s="49">
        <v>2718.8399999999997</v>
      </c>
      <c r="AJ24" s="49">
        <v>11781.64</v>
      </c>
      <c r="AK24" s="68">
        <v>0</v>
      </c>
    </row>
    <row r="25" spans="1:37" s="3" customFormat="1" ht="18.75" customHeight="1">
      <c r="A25" s="5">
        <v>7</v>
      </c>
      <c r="B25" s="61" t="s">
        <v>86</v>
      </c>
      <c r="C25" s="56">
        <f t="shared" si="19"/>
        <v>0</v>
      </c>
      <c r="D25" s="56">
        <f t="shared" si="20"/>
        <v>0</v>
      </c>
      <c r="E25" s="52"/>
      <c r="F25" s="49">
        <f t="shared" si="18"/>
        <v>23184.0444457478</v>
      </c>
      <c r="G25" s="49">
        <f t="shared" si="21"/>
        <v>6955.2133337243395</v>
      </c>
      <c r="H25" s="49">
        <f t="shared" si="23"/>
        <v>30139.25777947214</v>
      </c>
      <c r="I25" s="56">
        <f t="shared" si="22"/>
        <v>0</v>
      </c>
      <c r="J25" s="59">
        <v>0</v>
      </c>
      <c r="K25" s="52">
        <v>0</v>
      </c>
      <c r="L25" s="52">
        <v>0</v>
      </c>
      <c r="M25" s="49">
        <v>6145.216</v>
      </c>
      <c r="N25" s="49">
        <v>1843.5648</v>
      </c>
      <c r="O25" s="49">
        <v>7988.7808</v>
      </c>
      <c r="P25" s="68">
        <v>0</v>
      </c>
      <c r="Q25" s="59">
        <v>0</v>
      </c>
      <c r="R25" s="52">
        <v>0</v>
      </c>
      <c r="S25" s="52">
        <v>0</v>
      </c>
      <c r="T25" s="49">
        <v>5564.364516129032</v>
      </c>
      <c r="U25" s="49">
        <v>1669.3093548387096</v>
      </c>
      <c r="V25" s="49">
        <v>7233.673870967742</v>
      </c>
      <c r="W25" s="49">
        <v>0</v>
      </c>
      <c r="X25" s="49">
        <v>0</v>
      </c>
      <c r="Y25" s="49">
        <v>0</v>
      </c>
      <c r="Z25" s="49">
        <v>0</v>
      </c>
      <c r="AA25" s="49">
        <v>6205.8</v>
      </c>
      <c r="AB25" s="49">
        <v>1861.74</v>
      </c>
      <c r="AC25" s="49">
        <v>8067.54</v>
      </c>
      <c r="AD25" s="49">
        <v>0</v>
      </c>
      <c r="AE25" s="49">
        <v>0</v>
      </c>
      <c r="AF25" s="49">
        <v>0</v>
      </c>
      <c r="AG25" s="49">
        <v>0</v>
      </c>
      <c r="AH25" s="49">
        <v>5268.663929618768</v>
      </c>
      <c r="AI25" s="49">
        <v>1580.5991788856302</v>
      </c>
      <c r="AJ25" s="49">
        <v>6849.263108504398</v>
      </c>
      <c r="AK25" s="68">
        <v>0</v>
      </c>
    </row>
    <row r="26" spans="1:37" s="3" customFormat="1" ht="18.75" customHeight="1">
      <c r="A26" s="5">
        <v>8</v>
      </c>
      <c r="B26" s="61" t="s">
        <v>87</v>
      </c>
      <c r="C26" s="56">
        <f t="shared" si="19"/>
        <v>0</v>
      </c>
      <c r="D26" s="56">
        <f t="shared" si="20"/>
        <v>0</v>
      </c>
      <c r="E26" s="52"/>
      <c r="F26" s="49">
        <f t="shared" si="18"/>
        <v>16810.300000000003</v>
      </c>
      <c r="G26" s="49">
        <f t="shared" si="21"/>
        <v>5043.09</v>
      </c>
      <c r="H26" s="49">
        <f t="shared" si="23"/>
        <v>21853.390000000003</v>
      </c>
      <c r="I26" s="56">
        <f t="shared" si="22"/>
        <v>0</v>
      </c>
      <c r="J26" s="59">
        <v>0</v>
      </c>
      <c r="K26" s="52">
        <v>0</v>
      </c>
      <c r="L26" s="52">
        <v>0</v>
      </c>
      <c r="M26" s="49">
        <v>4322</v>
      </c>
      <c r="N26" s="49">
        <v>1296.6</v>
      </c>
      <c r="O26" s="49">
        <v>5618.6</v>
      </c>
      <c r="P26" s="68">
        <v>0</v>
      </c>
      <c r="Q26" s="59">
        <v>0</v>
      </c>
      <c r="R26" s="52">
        <v>0</v>
      </c>
      <c r="S26" s="52">
        <v>0</v>
      </c>
      <c r="T26" s="49">
        <v>4237.1</v>
      </c>
      <c r="U26" s="49">
        <v>1271.13</v>
      </c>
      <c r="V26" s="49">
        <v>5508.2300000000005</v>
      </c>
      <c r="W26" s="49">
        <v>0</v>
      </c>
      <c r="X26" s="49">
        <v>0</v>
      </c>
      <c r="Y26" s="49">
        <v>0</v>
      </c>
      <c r="Z26" s="49">
        <v>0</v>
      </c>
      <c r="AA26" s="49">
        <v>4336.8</v>
      </c>
      <c r="AB26" s="49">
        <v>1301.04</v>
      </c>
      <c r="AC26" s="49">
        <v>5637.84</v>
      </c>
      <c r="AD26" s="49">
        <v>0</v>
      </c>
      <c r="AE26" s="49">
        <v>0</v>
      </c>
      <c r="AF26" s="49">
        <v>0</v>
      </c>
      <c r="AG26" s="49">
        <v>0</v>
      </c>
      <c r="AH26" s="49">
        <v>3914.4</v>
      </c>
      <c r="AI26" s="49">
        <v>1174.32</v>
      </c>
      <c r="AJ26" s="49">
        <v>5088.72</v>
      </c>
      <c r="AK26" s="68">
        <v>0</v>
      </c>
    </row>
    <row r="27" spans="1:37" s="3" customFormat="1" ht="18.75" customHeight="1">
      <c r="A27" s="5">
        <v>9</v>
      </c>
      <c r="B27" s="61" t="s">
        <v>88</v>
      </c>
      <c r="C27" s="56">
        <f t="shared" si="19"/>
        <v>0</v>
      </c>
      <c r="D27" s="56">
        <f t="shared" si="20"/>
        <v>0</v>
      </c>
      <c r="E27" s="52"/>
      <c r="F27" s="49">
        <f t="shared" si="18"/>
        <v>8223.4</v>
      </c>
      <c r="G27" s="49">
        <f t="shared" si="21"/>
        <v>2467.02</v>
      </c>
      <c r="H27" s="49">
        <f t="shared" si="23"/>
        <v>10690.42</v>
      </c>
      <c r="I27" s="56">
        <f t="shared" si="22"/>
        <v>0</v>
      </c>
      <c r="J27" s="59">
        <v>0</v>
      </c>
      <c r="K27" s="52">
        <v>0</v>
      </c>
      <c r="L27" s="52">
        <v>0</v>
      </c>
      <c r="M27" s="49">
        <v>1983.6</v>
      </c>
      <c r="N27" s="49">
        <v>595.0799999999999</v>
      </c>
      <c r="O27" s="49">
        <v>2578.68</v>
      </c>
      <c r="P27" s="68">
        <v>0</v>
      </c>
      <c r="Q27" s="59">
        <v>0</v>
      </c>
      <c r="R27" s="52">
        <v>0</v>
      </c>
      <c r="S27" s="52">
        <v>0</v>
      </c>
      <c r="T27" s="49">
        <v>1992.3000000000002</v>
      </c>
      <c r="U27" s="49">
        <v>597.69</v>
      </c>
      <c r="V27" s="49">
        <v>2589.9900000000002</v>
      </c>
      <c r="W27" s="49">
        <v>0</v>
      </c>
      <c r="X27" s="49">
        <v>0</v>
      </c>
      <c r="Y27" s="49">
        <v>0</v>
      </c>
      <c r="Z27" s="49">
        <v>0</v>
      </c>
      <c r="AA27" s="49">
        <v>2200.6</v>
      </c>
      <c r="AB27" s="49">
        <v>660.18</v>
      </c>
      <c r="AC27" s="49">
        <v>2860.7799999999997</v>
      </c>
      <c r="AD27" s="49">
        <v>0</v>
      </c>
      <c r="AE27" s="49">
        <v>0</v>
      </c>
      <c r="AF27" s="49">
        <v>0</v>
      </c>
      <c r="AG27" s="49">
        <v>0</v>
      </c>
      <c r="AH27" s="49">
        <v>2046.9</v>
      </c>
      <c r="AI27" s="49">
        <v>614.07</v>
      </c>
      <c r="AJ27" s="49">
        <v>2660.9700000000003</v>
      </c>
      <c r="AK27" s="68">
        <v>0</v>
      </c>
    </row>
    <row r="28" spans="1:37" s="3" customFormat="1" ht="18.75" customHeight="1">
      <c r="A28" s="5">
        <v>10</v>
      </c>
      <c r="B28" s="61" t="s">
        <v>74</v>
      </c>
      <c r="C28" s="56">
        <f t="shared" si="19"/>
        <v>0</v>
      </c>
      <c r="D28" s="56">
        <f t="shared" si="20"/>
        <v>0</v>
      </c>
      <c r="E28" s="52"/>
      <c r="F28" s="49">
        <f t="shared" si="18"/>
        <v>34863.5</v>
      </c>
      <c r="G28" s="49">
        <f t="shared" si="21"/>
        <v>10459.05</v>
      </c>
      <c r="H28" s="49">
        <f t="shared" si="23"/>
        <v>45322.55</v>
      </c>
      <c r="I28" s="56">
        <f t="shared" si="22"/>
        <v>0</v>
      </c>
      <c r="J28" s="59">
        <v>0</v>
      </c>
      <c r="K28" s="52">
        <v>0</v>
      </c>
      <c r="L28" s="52">
        <v>0</v>
      </c>
      <c r="M28" s="49">
        <v>9854.1</v>
      </c>
      <c r="N28" s="49">
        <v>2956.23</v>
      </c>
      <c r="O28" s="49">
        <v>12810.33</v>
      </c>
      <c r="P28" s="68">
        <v>0</v>
      </c>
      <c r="Q28" s="59">
        <v>0</v>
      </c>
      <c r="R28" s="52">
        <v>0</v>
      </c>
      <c r="S28" s="52">
        <v>0</v>
      </c>
      <c r="T28" s="49">
        <v>8256.8</v>
      </c>
      <c r="U28" s="49">
        <v>2477.0399999999995</v>
      </c>
      <c r="V28" s="49">
        <v>10733.839999999998</v>
      </c>
      <c r="W28" s="49">
        <v>0</v>
      </c>
      <c r="X28" s="49">
        <v>0</v>
      </c>
      <c r="Y28" s="49">
        <v>0</v>
      </c>
      <c r="Z28" s="49">
        <v>0</v>
      </c>
      <c r="AA28" s="49">
        <v>8541.800000000001</v>
      </c>
      <c r="AB28" s="49">
        <v>2562.5400000000004</v>
      </c>
      <c r="AC28" s="49">
        <v>11104.340000000002</v>
      </c>
      <c r="AD28" s="49">
        <v>0</v>
      </c>
      <c r="AE28" s="49">
        <v>0</v>
      </c>
      <c r="AF28" s="49">
        <v>0</v>
      </c>
      <c r="AG28" s="49">
        <v>0</v>
      </c>
      <c r="AH28" s="49">
        <v>8210.8</v>
      </c>
      <c r="AI28" s="49">
        <v>2463.24</v>
      </c>
      <c r="AJ28" s="49">
        <v>10674.039999999999</v>
      </c>
      <c r="AK28" s="68">
        <v>0</v>
      </c>
    </row>
    <row r="29" spans="1:37" s="3" customFormat="1" ht="18.75" customHeight="1">
      <c r="A29" s="5">
        <v>11</v>
      </c>
      <c r="B29" s="61" t="s">
        <v>89</v>
      </c>
      <c r="C29" s="56">
        <f t="shared" si="19"/>
        <v>0</v>
      </c>
      <c r="D29" s="56">
        <f t="shared" si="20"/>
        <v>0</v>
      </c>
      <c r="E29" s="52"/>
      <c r="F29" s="49">
        <f t="shared" si="18"/>
        <v>47517.3</v>
      </c>
      <c r="G29" s="49">
        <f t="shared" si="21"/>
        <v>14255.189999999999</v>
      </c>
      <c r="H29" s="49">
        <f aca="true" t="shared" si="24" ref="H29:H46">SUM(F29:G29)</f>
        <v>61772.490000000005</v>
      </c>
      <c r="I29" s="56">
        <f t="shared" si="22"/>
        <v>0</v>
      </c>
      <c r="J29" s="59">
        <v>0</v>
      </c>
      <c r="K29" s="52">
        <v>0</v>
      </c>
      <c r="L29" s="52">
        <v>0</v>
      </c>
      <c r="M29" s="49">
        <v>12162.5</v>
      </c>
      <c r="N29" s="49">
        <v>3648.75</v>
      </c>
      <c r="O29" s="49">
        <v>15811.25</v>
      </c>
      <c r="P29" s="68">
        <v>0</v>
      </c>
      <c r="Q29" s="59">
        <v>0</v>
      </c>
      <c r="R29" s="52">
        <v>0</v>
      </c>
      <c r="S29" s="52">
        <v>0</v>
      </c>
      <c r="T29" s="49">
        <v>11743.8</v>
      </c>
      <c r="U29" s="49">
        <v>3523.14</v>
      </c>
      <c r="V29" s="49">
        <v>15266.939999999999</v>
      </c>
      <c r="W29" s="49">
        <v>0</v>
      </c>
      <c r="X29" s="49">
        <v>0</v>
      </c>
      <c r="Y29" s="49">
        <v>0</v>
      </c>
      <c r="Z29" s="49">
        <v>0</v>
      </c>
      <c r="AA29" s="49">
        <v>11843.7</v>
      </c>
      <c r="AB29" s="49">
        <v>3553.11</v>
      </c>
      <c r="AC29" s="49">
        <v>15396.810000000001</v>
      </c>
      <c r="AD29" s="49">
        <v>0</v>
      </c>
      <c r="AE29" s="49">
        <v>0</v>
      </c>
      <c r="AF29" s="49">
        <v>0</v>
      </c>
      <c r="AG29" s="49">
        <v>0</v>
      </c>
      <c r="AH29" s="49">
        <v>11767.3</v>
      </c>
      <c r="AI29" s="49">
        <v>3530.1899999999996</v>
      </c>
      <c r="AJ29" s="49">
        <v>15297.489999999998</v>
      </c>
      <c r="AK29" s="68">
        <v>0</v>
      </c>
    </row>
    <row r="30" spans="1:37" s="3" customFormat="1" ht="37.5">
      <c r="A30" s="42" t="s">
        <v>4</v>
      </c>
      <c r="B30" s="37" t="s">
        <v>7</v>
      </c>
      <c r="C30" s="49">
        <f>SUM(C31:C46)</f>
        <v>171.9</v>
      </c>
      <c r="D30" s="49">
        <f>SUM(D31:D46)</f>
        <v>178.561</v>
      </c>
      <c r="E30" s="49">
        <f>D30/C30*100</f>
        <v>103.87492728330426</v>
      </c>
      <c r="F30" s="49">
        <f t="shared" si="18"/>
        <v>863065.9999999999</v>
      </c>
      <c r="G30" s="49">
        <f>F30*0.3</f>
        <v>258919.79999999996</v>
      </c>
      <c r="H30" s="49">
        <f>SUM(F30:G30)</f>
        <v>1121985.7999999998</v>
      </c>
      <c r="I30" s="49">
        <f>SUM(I31:I46)</f>
        <v>0</v>
      </c>
      <c r="J30" s="49">
        <f>SUM(J31:J46)</f>
        <v>36.2</v>
      </c>
      <c r="K30" s="49">
        <f>SUM(K31:K46)</f>
        <v>39.632</v>
      </c>
      <c r="L30" s="49">
        <f>K30/J30*100</f>
        <v>109.4806629834254</v>
      </c>
      <c r="M30" s="49">
        <f>SUM(M31:M46)</f>
        <v>217357.39999999997</v>
      </c>
      <c r="N30" s="49">
        <f>M30*0.3</f>
        <v>65207.21999999999</v>
      </c>
      <c r="O30" s="49">
        <f>SUM(M30:N30)</f>
        <v>282564.61999999994</v>
      </c>
      <c r="P30" s="49">
        <f>SUM(P31:P46)</f>
        <v>0</v>
      </c>
      <c r="Q30" s="49">
        <f>SUM(Q31:Q46)</f>
        <v>34.4</v>
      </c>
      <c r="R30" s="49">
        <f>SUM(R31:R46)</f>
        <v>37.629000000000005</v>
      </c>
      <c r="S30" s="49">
        <f>_xlfn.IFERROR(R30/Q30*100,0)</f>
        <v>109.38662790697676</v>
      </c>
      <c r="T30" s="49">
        <f>SUM(T31:T46)</f>
        <v>212864.19999999998</v>
      </c>
      <c r="U30" s="49">
        <f>T30*0.3</f>
        <v>63859.259999999995</v>
      </c>
      <c r="V30" s="49">
        <f>SUM(T30:U30)</f>
        <v>276723.45999999996</v>
      </c>
      <c r="W30" s="49">
        <f>SUM(W31:W46)</f>
        <v>0</v>
      </c>
      <c r="X30" s="49">
        <f>SUM(X31:X46)</f>
        <v>45.900000000000006</v>
      </c>
      <c r="Y30" s="49">
        <f>SUM(Y31:Y46)</f>
        <v>45.900000000000006</v>
      </c>
      <c r="Z30" s="49">
        <f>Y30/X30*100</f>
        <v>100</v>
      </c>
      <c r="AA30" s="49">
        <f>SUM(AA31:AA46)</f>
        <v>218673.69999999998</v>
      </c>
      <c r="AB30" s="49">
        <f>AA30*0.3</f>
        <v>65602.10999999999</v>
      </c>
      <c r="AC30" s="49">
        <f>SUM(AA30:AB30)</f>
        <v>284275.80999999994</v>
      </c>
      <c r="AD30" s="49">
        <f>SUM(AD31:AD46)</f>
        <v>0</v>
      </c>
      <c r="AE30" s="49">
        <f>SUM(AE31:AE46)</f>
        <v>55.400000000000006</v>
      </c>
      <c r="AF30" s="49">
        <f>SUM(AF31:AF46)</f>
        <v>55.400000000000006</v>
      </c>
      <c r="AG30" s="49">
        <f>AF30/AE30*100</f>
        <v>100</v>
      </c>
      <c r="AH30" s="49">
        <f>SUM(AH31:AH46)</f>
        <v>214170.69999999998</v>
      </c>
      <c r="AI30" s="49">
        <f>AH30*0.3</f>
        <v>64251.20999999999</v>
      </c>
      <c r="AJ30" s="49">
        <f>SUM(AH30:AI30)</f>
        <v>278421.91</v>
      </c>
      <c r="AK30" s="49">
        <f>SUM(AK31:AK46)</f>
        <v>0</v>
      </c>
    </row>
    <row r="31" spans="1:37" s="3" customFormat="1" ht="18.75">
      <c r="A31" s="40">
        <v>1</v>
      </c>
      <c r="B31" s="36" t="s">
        <v>90</v>
      </c>
      <c r="C31" s="56">
        <f aca="true" t="shared" si="25" ref="C31:C49">J31+Q31+X31+AE31</f>
        <v>55.7</v>
      </c>
      <c r="D31" s="56">
        <f aca="true" t="shared" si="26" ref="D31:D49">K31+R31+Y31+AF31</f>
        <v>58.400000000000006</v>
      </c>
      <c r="E31" s="56"/>
      <c r="F31" s="56">
        <f t="shared" si="18"/>
        <v>182420.7</v>
      </c>
      <c r="G31" s="56">
        <f aca="true" t="shared" si="27" ref="G31:G49">N31+U31+AB31+AI31</f>
        <v>54726.21</v>
      </c>
      <c r="H31" s="68">
        <f>SUM(F31:G31)</f>
        <v>237146.91</v>
      </c>
      <c r="I31" s="56">
        <f aca="true" t="shared" si="28" ref="I31:I50">P31+W31+AD31+AK31</f>
        <v>0</v>
      </c>
      <c r="J31" s="52">
        <v>14.3</v>
      </c>
      <c r="K31" s="52">
        <v>17.2</v>
      </c>
      <c r="L31" s="49">
        <v>120.27972027972027</v>
      </c>
      <c r="M31" s="52">
        <v>45705.1</v>
      </c>
      <c r="N31" s="52">
        <v>13711.529999999999</v>
      </c>
      <c r="O31" s="133">
        <v>59416.63</v>
      </c>
      <c r="P31" s="68">
        <v>0</v>
      </c>
      <c r="Q31" s="52">
        <v>13.1</v>
      </c>
      <c r="R31" s="52">
        <v>12.9</v>
      </c>
      <c r="S31" s="49">
        <v>98.4732824427481</v>
      </c>
      <c r="T31" s="52">
        <v>46266.6</v>
      </c>
      <c r="U31" s="52">
        <v>13879.98</v>
      </c>
      <c r="V31" s="47">
        <v>60146.58</v>
      </c>
      <c r="W31" s="68">
        <v>0</v>
      </c>
      <c r="X31" s="52">
        <v>14.3</v>
      </c>
      <c r="Y31" s="52">
        <v>14.3</v>
      </c>
      <c r="Z31" s="49">
        <v>100</v>
      </c>
      <c r="AA31" s="52">
        <v>46021.3</v>
      </c>
      <c r="AB31" s="52">
        <v>13806.390000000001</v>
      </c>
      <c r="AC31" s="47">
        <v>59827.69</v>
      </c>
      <c r="AD31" s="68">
        <v>0</v>
      </c>
      <c r="AE31" s="52">
        <v>14</v>
      </c>
      <c r="AF31" s="52">
        <v>14</v>
      </c>
      <c r="AG31" s="49">
        <v>100</v>
      </c>
      <c r="AH31" s="52">
        <v>44427.7</v>
      </c>
      <c r="AI31" s="52">
        <v>13328.31</v>
      </c>
      <c r="AJ31" s="47">
        <v>57756.009999999995</v>
      </c>
      <c r="AK31" s="68">
        <v>0</v>
      </c>
    </row>
    <row r="32" spans="1:37" s="3" customFormat="1" ht="37.5">
      <c r="A32" s="40">
        <v>2</v>
      </c>
      <c r="B32" s="36" t="s">
        <v>91</v>
      </c>
      <c r="C32" s="56">
        <f t="shared" si="25"/>
        <v>34.5</v>
      </c>
      <c r="D32" s="56">
        <f t="shared" si="26"/>
        <v>34.561</v>
      </c>
      <c r="E32" s="56"/>
      <c r="F32" s="56">
        <f t="shared" si="18"/>
        <v>80205</v>
      </c>
      <c r="G32" s="56">
        <f t="shared" si="27"/>
        <v>24061.5</v>
      </c>
      <c r="H32" s="68">
        <f t="shared" si="24"/>
        <v>104266.5</v>
      </c>
      <c r="I32" s="56">
        <f t="shared" si="28"/>
        <v>0</v>
      </c>
      <c r="J32" s="52"/>
      <c r="K32" s="63">
        <v>0.032</v>
      </c>
      <c r="L32" s="49"/>
      <c r="M32" s="52">
        <v>17936.5</v>
      </c>
      <c r="N32" s="52">
        <v>5380.95</v>
      </c>
      <c r="O32" s="133">
        <v>23317.45</v>
      </c>
      <c r="P32" s="68">
        <v>0</v>
      </c>
      <c r="Q32" s="52">
        <v>0</v>
      </c>
      <c r="R32" s="63">
        <v>0.029</v>
      </c>
      <c r="S32" s="49"/>
      <c r="T32" s="52">
        <v>17462.5</v>
      </c>
      <c r="U32" s="52">
        <v>5238.75</v>
      </c>
      <c r="V32" s="47">
        <v>22701.25</v>
      </c>
      <c r="W32" s="68">
        <v>0</v>
      </c>
      <c r="X32" s="52">
        <v>12.3</v>
      </c>
      <c r="Y32" s="52">
        <v>12.3</v>
      </c>
      <c r="Z32" s="49">
        <v>100</v>
      </c>
      <c r="AA32" s="52">
        <v>19764</v>
      </c>
      <c r="AB32" s="52">
        <v>5929.2</v>
      </c>
      <c r="AC32" s="47">
        <v>25693.2</v>
      </c>
      <c r="AD32" s="68">
        <v>0</v>
      </c>
      <c r="AE32" s="52">
        <v>22.2</v>
      </c>
      <c r="AF32" s="52">
        <v>22.2</v>
      </c>
      <c r="AG32" s="49">
        <v>100</v>
      </c>
      <c r="AH32" s="52">
        <v>25042</v>
      </c>
      <c r="AI32" s="52">
        <v>7512.599999999999</v>
      </c>
      <c r="AJ32" s="47">
        <v>32554.6</v>
      </c>
      <c r="AK32" s="68">
        <v>0</v>
      </c>
    </row>
    <row r="33" spans="1:37" s="3" customFormat="1" ht="37.5">
      <c r="A33" s="40">
        <v>3</v>
      </c>
      <c r="B33" s="36" t="s">
        <v>92</v>
      </c>
      <c r="C33" s="56">
        <f t="shared" si="25"/>
        <v>9.2</v>
      </c>
      <c r="D33" s="56">
        <f t="shared" si="26"/>
        <v>10</v>
      </c>
      <c r="E33" s="56"/>
      <c r="F33" s="56">
        <f t="shared" si="18"/>
        <v>64895</v>
      </c>
      <c r="G33" s="56">
        <f t="shared" si="27"/>
        <v>19468.5</v>
      </c>
      <c r="H33" s="68">
        <f t="shared" si="24"/>
        <v>84363.5</v>
      </c>
      <c r="I33" s="56">
        <f t="shared" si="28"/>
        <v>0</v>
      </c>
      <c r="J33" s="52">
        <v>2</v>
      </c>
      <c r="K33" s="52">
        <v>2.4</v>
      </c>
      <c r="L33" s="49">
        <v>120</v>
      </c>
      <c r="M33" s="52">
        <v>14955.1</v>
      </c>
      <c r="N33" s="52">
        <v>4486.53</v>
      </c>
      <c r="O33" s="133">
        <v>19441.63</v>
      </c>
      <c r="P33" s="68">
        <v>0</v>
      </c>
      <c r="Q33" s="52">
        <v>2</v>
      </c>
      <c r="R33" s="52">
        <v>2.4</v>
      </c>
      <c r="S33" s="49">
        <v>120</v>
      </c>
      <c r="T33" s="52">
        <v>16802.5</v>
      </c>
      <c r="U33" s="52">
        <v>5040.75</v>
      </c>
      <c r="V33" s="47">
        <v>21843.25</v>
      </c>
      <c r="W33" s="68">
        <v>0</v>
      </c>
      <c r="X33" s="52">
        <v>2.6</v>
      </c>
      <c r="Y33" s="52">
        <v>2.6</v>
      </c>
      <c r="Z33" s="49">
        <v>100</v>
      </c>
      <c r="AA33" s="52">
        <v>16797.4</v>
      </c>
      <c r="AB33" s="52">
        <v>5039.22</v>
      </c>
      <c r="AC33" s="47">
        <v>21836.620000000003</v>
      </c>
      <c r="AD33" s="68">
        <v>0</v>
      </c>
      <c r="AE33" s="52">
        <v>2.6</v>
      </c>
      <c r="AF33" s="52">
        <v>2.6</v>
      </c>
      <c r="AG33" s="49">
        <v>100</v>
      </c>
      <c r="AH33" s="52">
        <v>16340</v>
      </c>
      <c r="AI33" s="52">
        <v>4902</v>
      </c>
      <c r="AJ33" s="47">
        <v>21242</v>
      </c>
      <c r="AK33" s="68">
        <v>0</v>
      </c>
    </row>
    <row r="34" spans="1:37" s="3" customFormat="1" ht="18.75" customHeight="1">
      <c r="A34" s="40">
        <v>4</v>
      </c>
      <c r="B34" s="36" t="s">
        <v>93</v>
      </c>
      <c r="C34" s="56">
        <f t="shared" si="25"/>
        <v>9.299999999999997</v>
      </c>
      <c r="D34" s="56">
        <f t="shared" si="26"/>
        <v>8.999999999999998</v>
      </c>
      <c r="E34" s="56"/>
      <c r="F34" s="56">
        <f t="shared" si="18"/>
        <v>117235</v>
      </c>
      <c r="G34" s="56">
        <f t="shared" si="27"/>
        <v>35170.5</v>
      </c>
      <c r="H34" s="68">
        <f t="shared" si="24"/>
        <v>152405.5</v>
      </c>
      <c r="I34" s="56">
        <f t="shared" si="28"/>
        <v>0</v>
      </c>
      <c r="J34" s="52">
        <v>4.8</v>
      </c>
      <c r="K34" s="52">
        <v>4.6</v>
      </c>
      <c r="L34" s="49">
        <v>95.83333333333333</v>
      </c>
      <c r="M34" s="52">
        <v>31248.8</v>
      </c>
      <c r="N34" s="52">
        <v>9374.64</v>
      </c>
      <c r="O34" s="133">
        <v>40623.44</v>
      </c>
      <c r="P34" s="68">
        <v>0</v>
      </c>
      <c r="Q34" s="52">
        <v>4.1</v>
      </c>
      <c r="R34" s="52">
        <v>4</v>
      </c>
      <c r="S34" s="49">
        <v>97.56097560975611</v>
      </c>
      <c r="T34" s="52">
        <v>30393.7</v>
      </c>
      <c r="U34" s="52">
        <v>9118.11</v>
      </c>
      <c r="V34" s="47">
        <v>39511.81</v>
      </c>
      <c r="W34" s="68">
        <v>0</v>
      </c>
      <c r="X34" s="52">
        <v>0.2</v>
      </c>
      <c r="Y34" s="52">
        <v>0.2</v>
      </c>
      <c r="Z34" s="49">
        <v>100</v>
      </c>
      <c r="AA34" s="52">
        <v>29075.6</v>
      </c>
      <c r="AB34" s="52">
        <v>8722.679999999998</v>
      </c>
      <c r="AC34" s="47">
        <v>37798.28</v>
      </c>
      <c r="AD34" s="68">
        <v>0</v>
      </c>
      <c r="AE34" s="52">
        <v>0.2</v>
      </c>
      <c r="AF34" s="52">
        <v>0.2</v>
      </c>
      <c r="AG34" s="49">
        <v>100</v>
      </c>
      <c r="AH34" s="52">
        <v>26516.9</v>
      </c>
      <c r="AI34" s="52">
        <v>7955.07</v>
      </c>
      <c r="AJ34" s="47">
        <v>34471.97</v>
      </c>
      <c r="AK34" s="68">
        <v>0</v>
      </c>
    </row>
    <row r="35" spans="1:37" s="3" customFormat="1" ht="37.5">
      <c r="A35" s="40">
        <v>5</v>
      </c>
      <c r="B35" s="36" t="s">
        <v>94</v>
      </c>
      <c r="C35" s="56">
        <f t="shared" si="25"/>
        <v>63.199999999999996</v>
      </c>
      <c r="D35" s="56">
        <f t="shared" si="26"/>
        <v>66.6</v>
      </c>
      <c r="E35" s="56"/>
      <c r="F35" s="56">
        <f t="shared" si="18"/>
        <v>248808.7</v>
      </c>
      <c r="G35" s="56">
        <f t="shared" si="27"/>
        <v>74642.61</v>
      </c>
      <c r="H35" s="68">
        <f t="shared" si="24"/>
        <v>323451.31</v>
      </c>
      <c r="I35" s="56">
        <f t="shared" si="28"/>
        <v>0</v>
      </c>
      <c r="J35" s="52">
        <v>15.1</v>
      </c>
      <c r="K35" s="52">
        <v>15.4</v>
      </c>
      <c r="L35" s="49">
        <v>101.98675496688743</v>
      </c>
      <c r="M35" s="52">
        <v>64819.1</v>
      </c>
      <c r="N35" s="52">
        <v>19445.73</v>
      </c>
      <c r="O35" s="133">
        <v>84264.83</v>
      </c>
      <c r="P35" s="68">
        <v>0</v>
      </c>
      <c r="Q35" s="52">
        <v>15.2</v>
      </c>
      <c r="R35" s="52">
        <v>18.3</v>
      </c>
      <c r="S35" s="49">
        <v>120.39473684210526</v>
      </c>
      <c r="T35" s="52">
        <v>59859.9</v>
      </c>
      <c r="U35" s="52">
        <v>17957.97</v>
      </c>
      <c r="V35" s="47">
        <v>77817.87</v>
      </c>
      <c r="W35" s="68">
        <v>0</v>
      </c>
      <c r="X35" s="52">
        <v>16.5</v>
      </c>
      <c r="Y35" s="52">
        <v>16.5</v>
      </c>
      <c r="Z35" s="49">
        <v>100</v>
      </c>
      <c r="AA35" s="52">
        <v>64254.7</v>
      </c>
      <c r="AB35" s="52">
        <v>19276.41</v>
      </c>
      <c r="AC35" s="47">
        <v>83531.11</v>
      </c>
      <c r="AD35" s="68">
        <v>0</v>
      </c>
      <c r="AE35" s="52">
        <v>16.4</v>
      </c>
      <c r="AF35" s="52">
        <v>16.4</v>
      </c>
      <c r="AG35" s="49">
        <v>100</v>
      </c>
      <c r="AH35" s="52">
        <v>59875</v>
      </c>
      <c r="AI35" s="52">
        <v>17962.5</v>
      </c>
      <c r="AJ35" s="47">
        <v>77837.5</v>
      </c>
      <c r="AK35" s="68">
        <v>0</v>
      </c>
    </row>
    <row r="36" spans="1:37" s="3" customFormat="1" ht="18.75">
      <c r="A36" s="40">
        <v>6</v>
      </c>
      <c r="B36" s="36" t="s">
        <v>95</v>
      </c>
      <c r="C36" s="56">
        <f t="shared" si="25"/>
        <v>0</v>
      </c>
      <c r="D36" s="56">
        <f t="shared" si="26"/>
        <v>0</v>
      </c>
      <c r="E36" s="56"/>
      <c r="F36" s="56">
        <f t="shared" si="18"/>
        <v>30531.8</v>
      </c>
      <c r="G36" s="56">
        <f t="shared" si="27"/>
        <v>9159.54</v>
      </c>
      <c r="H36" s="68">
        <f t="shared" si="24"/>
        <v>39691.34</v>
      </c>
      <c r="I36" s="56">
        <f t="shared" si="28"/>
        <v>0</v>
      </c>
      <c r="J36" s="45"/>
      <c r="K36" s="45"/>
      <c r="L36" s="49"/>
      <c r="M36" s="52">
        <v>7164</v>
      </c>
      <c r="N36" s="52">
        <v>2149.2</v>
      </c>
      <c r="O36" s="133">
        <v>9313.2</v>
      </c>
      <c r="P36" s="68">
        <v>0</v>
      </c>
      <c r="Q36" s="45"/>
      <c r="R36" s="45"/>
      <c r="S36" s="49"/>
      <c r="T36" s="52">
        <v>7096.1</v>
      </c>
      <c r="U36" s="52">
        <v>2128.83</v>
      </c>
      <c r="V36" s="47">
        <v>9224.93</v>
      </c>
      <c r="W36" s="68">
        <v>0</v>
      </c>
      <c r="X36" s="45"/>
      <c r="Y36" s="45"/>
      <c r="Z36" s="49"/>
      <c r="AA36" s="52">
        <v>8154.9</v>
      </c>
      <c r="AB36" s="52">
        <v>2446.47</v>
      </c>
      <c r="AC36" s="47">
        <v>10601.369999999999</v>
      </c>
      <c r="AD36" s="68">
        <v>0</v>
      </c>
      <c r="AE36" s="52"/>
      <c r="AF36" s="52"/>
      <c r="AG36" s="49"/>
      <c r="AH36" s="52">
        <v>8116.8</v>
      </c>
      <c r="AI36" s="52">
        <v>2435.04</v>
      </c>
      <c r="AJ36" s="47">
        <v>10551.84</v>
      </c>
      <c r="AK36" s="68">
        <v>0</v>
      </c>
    </row>
    <row r="37" spans="1:37" s="82" customFormat="1" ht="18.75">
      <c r="A37" s="40">
        <v>7</v>
      </c>
      <c r="B37" s="36" t="s">
        <v>96</v>
      </c>
      <c r="C37" s="108">
        <f t="shared" si="25"/>
        <v>0</v>
      </c>
      <c r="D37" s="108">
        <f t="shared" si="26"/>
        <v>0</v>
      </c>
      <c r="E37" s="108"/>
      <c r="F37" s="108">
        <f t="shared" si="18"/>
        <v>15571.3</v>
      </c>
      <c r="G37" s="108">
        <f t="shared" si="27"/>
        <v>4671.39</v>
      </c>
      <c r="H37" s="109">
        <f t="shared" si="24"/>
        <v>20242.69</v>
      </c>
      <c r="I37" s="108">
        <f t="shared" si="28"/>
        <v>0</v>
      </c>
      <c r="J37" s="134"/>
      <c r="K37" s="134"/>
      <c r="L37" s="108"/>
      <c r="M37" s="30">
        <v>4225</v>
      </c>
      <c r="N37" s="30">
        <v>1267.5</v>
      </c>
      <c r="O37" s="135">
        <v>5492.5</v>
      </c>
      <c r="P37" s="109">
        <v>0</v>
      </c>
      <c r="Q37" s="134"/>
      <c r="R37" s="134"/>
      <c r="S37" s="108"/>
      <c r="T37" s="30">
        <v>3868.8</v>
      </c>
      <c r="U37" s="30">
        <v>1160.64</v>
      </c>
      <c r="V37" s="136">
        <v>5029.4400000000005</v>
      </c>
      <c r="W37" s="109">
        <v>0</v>
      </c>
      <c r="X37" s="134"/>
      <c r="Y37" s="134"/>
      <c r="Z37" s="108"/>
      <c r="AA37" s="30">
        <v>3815.2</v>
      </c>
      <c r="AB37" s="30">
        <v>1144.56</v>
      </c>
      <c r="AC37" s="136">
        <v>4959.76</v>
      </c>
      <c r="AD37" s="109">
        <v>0</v>
      </c>
      <c r="AE37" s="30"/>
      <c r="AF37" s="30"/>
      <c r="AG37" s="108"/>
      <c r="AH37" s="30">
        <v>3662.3</v>
      </c>
      <c r="AI37" s="30">
        <v>1098.69</v>
      </c>
      <c r="AJ37" s="136">
        <v>4760.99</v>
      </c>
      <c r="AK37" s="109">
        <v>0</v>
      </c>
    </row>
    <row r="38" spans="1:37" s="3" customFormat="1" ht="18.75">
      <c r="A38" s="40">
        <v>8</v>
      </c>
      <c r="B38" s="36" t="s">
        <v>120</v>
      </c>
      <c r="C38" s="56">
        <f t="shared" si="25"/>
        <v>0</v>
      </c>
      <c r="D38" s="56">
        <f t="shared" si="26"/>
        <v>0</v>
      </c>
      <c r="E38" s="56"/>
      <c r="F38" s="56">
        <f t="shared" si="18"/>
        <v>36778.2</v>
      </c>
      <c r="G38" s="56">
        <f t="shared" si="27"/>
        <v>11033.459999999997</v>
      </c>
      <c r="H38" s="68">
        <f t="shared" si="24"/>
        <v>47811.659999999996</v>
      </c>
      <c r="I38" s="56">
        <f t="shared" si="28"/>
        <v>0</v>
      </c>
      <c r="J38" s="45"/>
      <c r="K38" s="45"/>
      <c r="L38" s="49"/>
      <c r="M38" s="52">
        <v>9187.3</v>
      </c>
      <c r="N38" s="52">
        <v>2756.1899999999996</v>
      </c>
      <c r="O38" s="133">
        <v>11943.489999999998</v>
      </c>
      <c r="P38" s="68">
        <v>0</v>
      </c>
      <c r="Q38" s="45"/>
      <c r="R38" s="45"/>
      <c r="S38" s="49"/>
      <c r="T38" s="52">
        <v>9303.9</v>
      </c>
      <c r="U38" s="52">
        <v>2791.1699999999996</v>
      </c>
      <c r="V38" s="47">
        <v>12095.07</v>
      </c>
      <c r="W38" s="68">
        <v>0</v>
      </c>
      <c r="X38" s="45"/>
      <c r="Y38" s="45"/>
      <c r="Z38" s="49"/>
      <c r="AA38" s="52">
        <v>9428.5</v>
      </c>
      <c r="AB38" s="52">
        <v>2828.5499999999997</v>
      </c>
      <c r="AC38" s="47">
        <v>12257.05</v>
      </c>
      <c r="AD38" s="68">
        <v>0</v>
      </c>
      <c r="AE38" s="52"/>
      <c r="AF38" s="52"/>
      <c r="AG38" s="49"/>
      <c r="AH38" s="52">
        <v>8858.5</v>
      </c>
      <c r="AI38" s="52">
        <v>2657.5499999999997</v>
      </c>
      <c r="AJ38" s="47">
        <v>11516.05</v>
      </c>
      <c r="AK38" s="68">
        <v>0</v>
      </c>
    </row>
    <row r="39" spans="1:37" s="82" customFormat="1" ht="18.75">
      <c r="A39" s="40">
        <v>9</v>
      </c>
      <c r="B39" s="36" t="s">
        <v>98</v>
      </c>
      <c r="C39" s="108">
        <f t="shared" si="25"/>
        <v>0</v>
      </c>
      <c r="D39" s="108">
        <f t="shared" si="26"/>
        <v>0</v>
      </c>
      <c r="E39" s="108"/>
      <c r="F39" s="108">
        <f t="shared" si="18"/>
        <v>40357.2</v>
      </c>
      <c r="G39" s="108">
        <f t="shared" si="27"/>
        <v>12107.16</v>
      </c>
      <c r="H39" s="109">
        <f t="shared" si="24"/>
        <v>52464.36</v>
      </c>
      <c r="I39" s="108">
        <f t="shared" si="28"/>
        <v>0</v>
      </c>
      <c r="J39" s="134"/>
      <c r="K39" s="134"/>
      <c r="L39" s="108"/>
      <c r="M39" s="30">
        <v>10870.9</v>
      </c>
      <c r="N39" s="30">
        <v>3261.27</v>
      </c>
      <c r="O39" s="135">
        <v>14132.17</v>
      </c>
      <c r="P39" s="109">
        <v>0</v>
      </c>
      <c r="Q39" s="134"/>
      <c r="R39" s="134"/>
      <c r="S39" s="108"/>
      <c r="T39" s="30">
        <v>10283.1</v>
      </c>
      <c r="U39" s="30">
        <v>3084.93</v>
      </c>
      <c r="V39" s="136">
        <v>13368.03</v>
      </c>
      <c r="W39" s="109">
        <v>0</v>
      </c>
      <c r="X39" s="134"/>
      <c r="Y39" s="134"/>
      <c r="Z39" s="108"/>
      <c r="AA39" s="30">
        <v>9567.5</v>
      </c>
      <c r="AB39" s="30">
        <v>2870.25</v>
      </c>
      <c r="AC39" s="136">
        <v>12437.75</v>
      </c>
      <c r="AD39" s="109">
        <v>0</v>
      </c>
      <c r="AE39" s="30"/>
      <c r="AF39" s="30"/>
      <c r="AG39" s="108"/>
      <c r="AH39" s="30">
        <v>9635.7</v>
      </c>
      <c r="AI39" s="30">
        <v>2890.71</v>
      </c>
      <c r="AJ39" s="136">
        <v>12526.41</v>
      </c>
      <c r="AK39" s="109">
        <v>0</v>
      </c>
    </row>
    <row r="40" spans="1:37" s="3" customFormat="1" ht="18.75">
      <c r="A40" s="40">
        <v>10</v>
      </c>
      <c r="B40" s="36" t="s">
        <v>99</v>
      </c>
      <c r="C40" s="56">
        <f t="shared" si="25"/>
        <v>0</v>
      </c>
      <c r="D40" s="56">
        <f t="shared" si="26"/>
        <v>0</v>
      </c>
      <c r="E40" s="56"/>
      <c r="F40" s="56">
        <f t="shared" si="18"/>
        <v>26643.399999999998</v>
      </c>
      <c r="G40" s="56">
        <f t="shared" si="27"/>
        <v>7993.0199999999995</v>
      </c>
      <c r="H40" s="68">
        <f t="shared" si="24"/>
        <v>34636.42</v>
      </c>
      <c r="I40" s="56">
        <f t="shared" si="28"/>
        <v>0</v>
      </c>
      <c r="J40" s="45"/>
      <c r="K40" s="45"/>
      <c r="L40" s="49"/>
      <c r="M40" s="52">
        <v>6200.5</v>
      </c>
      <c r="N40" s="52">
        <v>1860.1499999999999</v>
      </c>
      <c r="O40" s="133">
        <v>8060.65</v>
      </c>
      <c r="P40" s="68">
        <v>0</v>
      </c>
      <c r="Q40" s="45"/>
      <c r="R40" s="45"/>
      <c r="S40" s="49"/>
      <c r="T40" s="52">
        <v>6657.8</v>
      </c>
      <c r="U40" s="52">
        <v>1997.34</v>
      </c>
      <c r="V40" s="47">
        <v>8655.14</v>
      </c>
      <c r="W40" s="68">
        <v>0</v>
      </c>
      <c r="X40" s="45"/>
      <c r="Y40" s="45"/>
      <c r="Z40" s="49"/>
      <c r="AA40" s="52">
        <v>6900.8</v>
      </c>
      <c r="AB40" s="52">
        <v>2070.24</v>
      </c>
      <c r="AC40" s="47">
        <v>8971.04</v>
      </c>
      <c r="AD40" s="68">
        <v>0</v>
      </c>
      <c r="AE40" s="52"/>
      <c r="AF40" s="52"/>
      <c r="AG40" s="49"/>
      <c r="AH40" s="52">
        <v>6884.3</v>
      </c>
      <c r="AI40" s="52">
        <v>2065.29</v>
      </c>
      <c r="AJ40" s="47">
        <v>8949.59</v>
      </c>
      <c r="AK40" s="68">
        <v>0</v>
      </c>
    </row>
    <row r="41" spans="1:37" s="3" customFormat="1" ht="18.75">
      <c r="A41" s="40">
        <v>11</v>
      </c>
      <c r="B41" s="36" t="s">
        <v>100</v>
      </c>
      <c r="C41" s="56">
        <f t="shared" si="25"/>
        <v>0</v>
      </c>
      <c r="D41" s="56">
        <f t="shared" si="26"/>
        <v>0</v>
      </c>
      <c r="E41" s="56"/>
      <c r="F41" s="56">
        <f t="shared" si="18"/>
        <v>15384.9</v>
      </c>
      <c r="G41" s="56">
        <f t="shared" si="27"/>
        <v>4615.469999999999</v>
      </c>
      <c r="H41" s="68">
        <f t="shared" si="24"/>
        <v>20000.37</v>
      </c>
      <c r="I41" s="56">
        <f t="shared" si="28"/>
        <v>0</v>
      </c>
      <c r="J41" s="45"/>
      <c r="K41" s="45"/>
      <c r="L41" s="49"/>
      <c r="M41" s="52">
        <v>4072.8</v>
      </c>
      <c r="N41" s="52">
        <v>1221.84</v>
      </c>
      <c r="O41" s="133">
        <v>5294.64</v>
      </c>
      <c r="P41" s="68">
        <v>0</v>
      </c>
      <c r="Q41" s="45"/>
      <c r="R41" s="45"/>
      <c r="S41" s="49"/>
      <c r="T41" s="52">
        <v>3796.6</v>
      </c>
      <c r="U41" s="52">
        <v>1138.98</v>
      </c>
      <c r="V41" s="47">
        <v>4935.58</v>
      </c>
      <c r="W41" s="68">
        <v>0</v>
      </c>
      <c r="X41" s="45"/>
      <c r="Y41" s="45"/>
      <c r="Z41" s="49"/>
      <c r="AA41" s="52">
        <v>3798.5</v>
      </c>
      <c r="AB41" s="52">
        <v>1139.55</v>
      </c>
      <c r="AC41" s="47">
        <v>4938.05</v>
      </c>
      <c r="AD41" s="68">
        <v>0</v>
      </c>
      <c r="AE41" s="52"/>
      <c r="AF41" s="52"/>
      <c r="AG41" s="49"/>
      <c r="AH41" s="52">
        <v>3717</v>
      </c>
      <c r="AI41" s="52">
        <v>1115.1</v>
      </c>
      <c r="AJ41" s="47">
        <v>4832.1</v>
      </c>
      <c r="AK41" s="68">
        <v>0</v>
      </c>
    </row>
    <row r="42" spans="1:37" s="3" customFormat="1" ht="18.75">
      <c r="A42" s="40">
        <v>12</v>
      </c>
      <c r="B42" s="36" t="s">
        <v>101</v>
      </c>
      <c r="C42" s="56">
        <f t="shared" si="25"/>
        <v>0</v>
      </c>
      <c r="D42" s="56">
        <f t="shared" si="26"/>
        <v>0</v>
      </c>
      <c r="E42" s="56"/>
      <c r="F42" s="56">
        <f t="shared" si="18"/>
        <v>1165.6</v>
      </c>
      <c r="G42" s="56">
        <f t="shared" si="27"/>
        <v>349.67999999999995</v>
      </c>
      <c r="H42" s="68">
        <f t="shared" si="24"/>
        <v>1515.2799999999997</v>
      </c>
      <c r="I42" s="56">
        <f t="shared" si="28"/>
        <v>0</v>
      </c>
      <c r="J42" s="45"/>
      <c r="K42" s="45"/>
      <c r="L42" s="49"/>
      <c r="M42" s="52">
        <v>263.6</v>
      </c>
      <c r="N42" s="52">
        <v>79.08</v>
      </c>
      <c r="O42" s="133">
        <v>342.68</v>
      </c>
      <c r="P42" s="68">
        <v>0</v>
      </c>
      <c r="Q42" s="45"/>
      <c r="R42" s="45"/>
      <c r="S42" s="49"/>
      <c r="T42" s="52">
        <v>300.5</v>
      </c>
      <c r="U42" s="52">
        <v>90.14999999999999</v>
      </c>
      <c r="V42" s="47">
        <v>390.65</v>
      </c>
      <c r="W42" s="68">
        <v>0</v>
      </c>
      <c r="X42" s="45"/>
      <c r="Y42" s="45"/>
      <c r="Z42" s="49"/>
      <c r="AA42" s="52">
        <v>301</v>
      </c>
      <c r="AB42" s="52">
        <v>90.3</v>
      </c>
      <c r="AC42" s="47">
        <v>391.3</v>
      </c>
      <c r="AD42" s="68">
        <v>0</v>
      </c>
      <c r="AE42" s="52"/>
      <c r="AF42" s="52"/>
      <c r="AG42" s="49"/>
      <c r="AH42" s="52">
        <v>300.5</v>
      </c>
      <c r="AI42" s="52">
        <v>90.14999999999999</v>
      </c>
      <c r="AJ42" s="47">
        <v>390.65</v>
      </c>
      <c r="AK42" s="68">
        <v>0</v>
      </c>
    </row>
    <row r="43" spans="1:37" s="3" customFormat="1" ht="37.5">
      <c r="A43" s="40">
        <v>13</v>
      </c>
      <c r="B43" s="36" t="s">
        <v>119</v>
      </c>
      <c r="C43" s="56">
        <f t="shared" si="25"/>
        <v>0</v>
      </c>
      <c r="D43" s="56">
        <f t="shared" si="26"/>
        <v>0</v>
      </c>
      <c r="E43" s="56"/>
      <c r="F43" s="56">
        <f t="shared" si="18"/>
        <v>1503.6999999999998</v>
      </c>
      <c r="G43" s="56">
        <f t="shared" si="27"/>
        <v>451.10999999999996</v>
      </c>
      <c r="H43" s="68">
        <f t="shared" si="24"/>
        <v>1954.8099999999997</v>
      </c>
      <c r="I43" s="56">
        <f t="shared" si="28"/>
        <v>0</v>
      </c>
      <c r="J43" s="45"/>
      <c r="K43" s="45"/>
      <c r="L43" s="49"/>
      <c r="M43" s="52">
        <v>315.9</v>
      </c>
      <c r="N43" s="52">
        <v>94.77</v>
      </c>
      <c r="O43" s="133">
        <v>410.66999999999996</v>
      </c>
      <c r="P43" s="68">
        <v>0</v>
      </c>
      <c r="Q43" s="45"/>
      <c r="R43" s="45"/>
      <c r="S43" s="49"/>
      <c r="T43" s="52">
        <v>381.3</v>
      </c>
      <c r="U43" s="52">
        <v>114.39</v>
      </c>
      <c r="V43" s="47">
        <v>495.69</v>
      </c>
      <c r="W43" s="68">
        <v>0</v>
      </c>
      <c r="X43" s="45"/>
      <c r="Y43" s="45"/>
      <c r="Z43" s="49"/>
      <c r="AA43" s="52">
        <v>403.4</v>
      </c>
      <c r="AB43" s="52">
        <v>121.01999999999998</v>
      </c>
      <c r="AC43" s="47">
        <v>524.42</v>
      </c>
      <c r="AD43" s="68">
        <v>0</v>
      </c>
      <c r="AE43" s="52"/>
      <c r="AF43" s="52"/>
      <c r="AG43" s="49"/>
      <c r="AH43" s="52">
        <v>403.1</v>
      </c>
      <c r="AI43" s="52">
        <v>120.93</v>
      </c>
      <c r="AJ43" s="47">
        <v>524.03</v>
      </c>
      <c r="AK43" s="68">
        <v>0</v>
      </c>
    </row>
    <row r="44" spans="1:37" s="3" customFormat="1" ht="37.5">
      <c r="A44" s="40">
        <v>14</v>
      </c>
      <c r="B44" s="36" t="s">
        <v>102</v>
      </c>
      <c r="C44" s="56">
        <f t="shared" si="25"/>
        <v>0</v>
      </c>
      <c r="D44" s="56">
        <f t="shared" si="26"/>
        <v>0</v>
      </c>
      <c r="E44" s="56"/>
      <c r="F44" s="56">
        <f t="shared" si="18"/>
        <v>534</v>
      </c>
      <c r="G44" s="56">
        <f t="shared" si="27"/>
        <v>160.2</v>
      </c>
      <c r="H44" s="68">
        <f t="shared" si="24"/>
        <v>694.2</v>
      </c>
      <c r="I44" s="56">
        <f t="shared" si="28"/>
        <v>0</v>
      </c>
      <c r="J44" s="45"/>
      <c r="K44" s="45"/>
      <c r="L44" s="49"/>
      <c r="M44" s="52">
        <v>133.5</v>
      </c>
      <c r="N44" s="52">
        <v>40.05</v>
      </c>
      <c r="O44" s="133">
        <v>173.55</v>
      </c>
      <c r="P44" s="68">
        <v>0</v>
      </c>
      <c r="Q44" s="45"/>
      <c r="R44" s="45"/>
      <c r="S44" s="49"/>
      <c r="T44" s="52">
        <v>133.5</v>
      </c>
      <c r="U44" s="52">
        <v>40.05</v>
      </c>
      <c r="V44" s="47">
        <v>173.55</v>
      </c>
      <c r="W44" s="68">
        <v>0</v>
      </c>
      <c r="X44" s="45"/>
      <c r="Y44" s="45"/>
      <c r="Z44" s="49"/>
      <c r="AA44" s="52">
        <v>133.5</v>
      </c>
      <c r="AB44" s="52">
        <v>40.05</v>
      </c>
      <c r="AC44" s="47">
        <v>173.55</v>
      </c>
      <c r="AD44" s="68">
        <v>0</v>
      </c>
      <c r="AE44" s="52"/>
      <c r="AF44" s="52"/>
      <c r="AG44" s="49"/>
      <c r="AH44" s="52">
        <v>133.5</v>
      </c>
      <c r="AI44" s="52">
        <v>40.05</v>
      </c>
      <c r="AJ44" s="47">
        <v>173.55</v>
      </c>
      <c r="AK44" s="68">
        <v>0</v>
      </c>
    </row>
    <row r="45" spans="1:37" s="3" customFormat="1" ht="18.75">
      <c r="A45" s="40">
        <v>15</v>
      </c>
      <c r="B45" s="32" t="s">
        <v>103</v>
      </c>
      <c r="C45" s="56">
        <f t="shared" si="25"/>
        <v>0</v>
      </c>
      <c r="D45" s="56">
        <f t="shared" si="26"/>
        <v>0</v>
      </c>
      <c r="E45" s="56"/>
      <c r="F45" s="56">
        <f t="shared" si="18"/>
        <v>533.6</v>
      </c>
      <c r="G45" s="56">
        <f t="shared" si="27"/>
        <v>160.08</v>
      </c>
      <c r="H45" s="68">
        <f t="shared" si="24"/>
        <v>693.6800000000001</v>
      </c>
      <c r="I45" s="56">
        <f t="shared" si="28"/>
        <v>0</v>
      </c>
      <c r="J45" s="45"/>
      <c r="K45" s="45"/>
      <c r="L45" s="49"/>
      <c r="M45" s="60">
        <v>133.4</v>
      </c>
      <c r="N45" s="52">
        <v>40.02</v>
      </c>
      <c r="O45" s="133">
        <v>173.42000000000002</v>
      </c>
      <c r="P45" s="68">
        <v>0</v>
      </c>
      <c r="Q45" s="45"/>
      <c r="R45" s="45"/>
      <c r="S45" s="49"/>
      <c r="T45" s="60">
        <v>133.4</v>
      </c>
      <c r="U45" s="52">
        <v>40.02</v>
      </c>
      <c r="V45" s="47">
        <v>173.42000000000002</v>
      </c>
      <c r="W45" s="68">
        <v>0</v>
      </c>
      <c r="X45" s="45"/>
      <c r="Y45" s="45"/>
      <c r="Z45" s="49"/>
      <c r="AA45" s="60">
        <v>133.4</v>
      </c>
      <c r="AB45" s="52">
        <v>40.02</v>
      </c>
      <c r="AC45" s="47">
        <v>173.42000000000002</v>
      </c>
      <c r="AD45" s="68">
        <v>0</v>
      </c>
      <c r="AE45" s="60"/>
      <c r="AF45" s="52"/>
      <c r="AG45" s="49"/>
      <c r="AH45" s="60">
        <v>133.4</v>
      </c>
      <c r="AI45" s="52">
        <v>40.02</v>
      </c>
      <c r="AJ45" s="47">
        <v>173.42000000000002</v>
      </c>
      <c r="AK45" s="68">
        <v>0</v>
      </c>
    </row>
    <row r="46" spans="1:37" s="3" customFormat="1" ht="18.75">
      <c r="A46" s="40">
        <v>16</v>
      </c>
      <c r="B46" s="32" t="s">
        <v>104</v>
      </c>
      <c r="C46" s="56">
        <f t="shared" si="25"/>
        <v>0</v>
      </c>
      <c r="D46" s="56">
        <f t="shared" si="26"/>
        <v>0</v>
      </c>
      <c r="E46" s="56"/>
      <c r="F46" s="56">
        <f t="shared" si="18"/>
        <v>497.9</v>
      </c>
      <c r="G46" s="56">
        <f t="shared" si="27"/>
        <v>149.36999999999998</v>
      </c>
      <c r="H46" s="68">
        <f t="shared" si="24"/>
        <v>647.27</v>
      </c>
      <c r="I46" s="56">
        <f t="shared" si="28"/>
        <v>0</v>
      </c>
      <c r="J46" s="45"/>
      <c r="K46" s="45"/>
      <c r="L46" s="49"/>
      <c r="M46" s="60">
        <v>125.9</v>
      </c>
      <c r="N46" s="52">
        <v>37.77</v>
      </c>
      <c r="O46" s="133">
        <v>163.67000000000002</v>
      </c>
      <c r="P46" s="68">
        <v>0</v>
      </c>
      <c r="Q46" s="45"/>
      <c r="R46" s="45"/>
      <c r="S46" s="49"/>
      <c r="T46" s="60">
        <v>124</v>
      </c>
      <c r="U46" s="52">
        <v>37.199999999999996</v>
      </c>
      <c r="V46" s="47">
        <v>161.2</v>
      </c>
      <c r="W46" s="68">
        <v>0</v>
      </c>
      <c r="X46" s="45"/>
      <c r="Y46" s="45"/>
      <c r="Z46" s="49"/>
      <c r="AA46" s="60">
        <v>124</v>
      </c>
      <c r="AB46" s="52">
        <v>37.199999999999996</v>
      </c>
      <c r="AC46" s="47">
        <v>161.2</v>
      </c>
      <c r="AD46" s="68">
        <v>0</v>
      </c>
      <c r="AE46" s="60"/>
      <c r="AF46" s="52"/>
      <c r="AG46" s="49"/>
      <c r="AH46" s="60">
        <v>124</v>
      </c>
      <c r="AI46" s="52">
        <v>37.199999999999996</v>
      </c>
      <c r="AJ46" s="47">
        <v>161.2</v>
      </c>
      <c r="AK46" s="68">
        <v>0</v>
      </c>
    </row>
    <row r="47" spans="1:37" ht="24" customHeight="1">
      <c r="A47" s="41" t="s">
        <v>2</v>
      </c>
      <c r="B47" s="38" t="s">
        <v>75</v>
      </c>
      <c r="C47" s="87">
        <f>J47+Q47+X47+AE47</f>
        <v>0</v>
      </c>
      <c r="D47" s="87">
        <f>K47+R47+Y47+AF47</f>
        <v>0</v>
      </c>
      <c r="E47" s="49"/>
      <c r="F47" s="49">
        <f>M47+T47+AA47+AH47</f>
        <v>164807.30666336138</v>
      </c>
      <c r="G47" s="49">
        <f>N47+U47+AB47+AI47</f>
        <v>49442.1919990084</v>
      </c>
      <c r="H47" s="58">
        <f>SUM(F47:G47)</f>
        <v>214249.4986623698</v>
      </c>
      <c r="I47" s="49">
        <f t="shared" si="28"/>
        <v>0</v>
      </c>
      <c r="J47" s="51">
        <v>0</v>
      </c>
      <c r="K47" s="51">
        <v>0</v>
      </c>
      <c r="L47" s="51">
        <v>0</v>
      </c>
      <c r="M47" s="51">
        <v>43193.45437</v>
      </c>
      <c r="N47" s="51">
        <f>(M47/100)*30</f>
        <v>12958.036311</v>
      </c>
      <c r="O47" s="51">
        <f>SUM(M47:N47)</f>
        <v>56151.490680999996</v>
      </c>
      <c r="P47" s="49">
        <v>0</v>
      </c>
      <c r="Q47" s="51">
        <v>0</v>
      </c>
      <c r="R47" s="51">
        <v>0</v>
      </c>
      <c r="S47" s="51">
        <v>0</v>
      </c>
      <c r="T47" s="51">
        <v>38237.719973277315</v>
      </c>
      <c r="U47" s="51">
        <f>(T47/100)*30</f>
        <v>11471.315991983194</v>
      </c>
      <c r="V47" s="51">
        <f>SUM(T47:U47)</f>
        <v>49709.03596526051</v>
      </c>
      <c r="W47" s="49">
        <v>0</v>
      </c>
      <c r="X47" s="51">
        <v>0</v>
      </c>
      <c r="Y47" s="51">
        <v>0</v>
      </c>
      <c r="Z47" s="51">
        <v>0</v>
      </c>
      <c r="AA47" s="51">
        <v>43056.138529243704</v>
      </c>
      <c r="AB47" s="51">
        <f>(AA47/100)*30</f>
        <v>12916.84155877311</v>
      </c>
      <c r="AC47" s="51">
        <f>SUM(AA47:AB47)</f>
        <v>55972.98008801682</v>
      </c>
      <c r="AD47" s="49">
        <v>0</v>
      </c>
      <c r="AE47" s="51">
        <v>0</v>
      </c>
      <c r="AF47" s="51">
        <v>0</v>
      </c>
      <c r="AG47" s="51">
        <v>0</v>
      </c>
      <c r="AH47" s="51">
        <v>40319.99379084034</v>
      </c>
      <c r="AI47" s="51">
        <f>(AH47/100)*30</f>
        <v>12095.998137252102</v>
      </c>
      <c r="AJ47" s="51">
        <f>SUM(AH47:AI47)</f>
        <v>52415.99192809244</v>
      </c>
      <c r="AK47" s="49">
        <v>0</v>
      </c>
    </row>
    <row r="48" spans="1:37" s="3" customFormat="1" ht="31.5">
      <c r="A48" s="41" t="s">
        <v>3</v>
      </c>
      <c r="B48" s="38" t="s">
        <v>77</v>
      </c>
      <c r="C48" s="49">
        <v>411.4</v>
      </c>
      <c r="D48" s="49">
        <v>336.945</v>
      </c>
      <c r="E48" s="49">
        <v>81.90204180845893</v>
      </c>
      <c r="F48" s="49">
        <v>597957.1000000001</v>
      </c>
      <c r="G48" s="49">
        <v>230213.4835</v>
      </c>
      <c r="H48" s="58">
        <v>828170.5835000001</v>
      </c>
      <c r="I48" s="49">
        <v>590332.3446666667</v>
      </c>
      <c r="J48" s="51">
        <v>80</v>
      </c>
      <c r="K48" s="51">
        <v>84</v>
      </c>
      <c r="L48" s="51">
        <v>105</v>
      </c>
      <c r="M48" s="51">
        <v>149880.9</v>
      </c>
      <c r="N48" s="51">
        <v>57704.1465</v>
      </c>
      <c r="O48" s="51">
        <v>207585.0465</v>
      </c>
      <c r="P48" s="49">
        <v>168798.5</v>
      </c>
      <c r="Q48" s="51">
        <v>90.5</v>
      </c>
      <c r="R48" s="51">
        <v>0</v>
      </c>
      <c r="S48" s="51">
        <v>0</v>
      </c>
      <c r="T48" s="51">
        <v>119772.5</v>
      </c>
      <c r="U48" s="51">
        <v>46112.4125</v>
      </c>
      <c r="V48" s="51">
        <v>165884.9125</v>
      </c>
      <c r="W48" s="49">
        <v>0</v>
      </c>
      <c r="X48" s="51">
        <v>102.7</v>
      </c>
      <c r="Y48" s="51">
        <v>107.83500000000001</v>
      </c>
      <c r="Z48" s="51">
        <v>105</v>
      </c>
      <c r="AA48" s="51">
        <v>163767.5</v>
      </c>
      <c r="AB48" s="51">
        <v>63050.4875</v>
      </c>
      <c r="AC48" s="51">
        <v>226817.9875</v>
      </c>
      <c r="AD48" s="49">
        <v>208633.01155555557</v>
      </c>
      <c r="AE48" s="51">
        <v>138.2</v>
      </c>
      <c r="AF48" s="51">
        <v>145.10999999999999</v>
      </c>
      <c r="AG48" s="51">
        <v>105</v>
      </c>
      <c r="AH48" s="51">
        <v>164536.2</v>
      </c>
      <c r="AI48" s="51">
        <v>63346.437000000005</v>
      </c>
      <c r="AJ48" s="51">
        <v>227882.63700000002</v>
      </c>
      <c r="AK48" s="49">
        <v>212900.8331111111</v>
      </c>
    </row>
    <row r="49" spans="1:37" ht="22.5" customHeight="1">
      <c r="A49" s="41" t="s">
        <v>29</v>
      </c>
      <c r="B49" s="39" t="s">
        <v>61</v>
      </c>
      <c r="C49" s="49">
        <f t="shared" si="25"/>
        <v>77.2</v>
      </c>
      <c r="D49" s="49">
        <f t="shared" si="26"/>
        <v>40.7</v>
      </c>
      <c r="E49" s="49">
        <f>D49/C49*100</f>
        <v>52.72020725388601</v>
      </c>
      <c r="F49" s="49">
        <f t="shared" si="18"/>
        <v>32221</v>
      </c>
      <c r="G49" s="49">
        <f t="shared" si="27"/>
        <v>10088.7</v>
      </c>
      <c r="H49" s="58">
        <f>SUM(F49:G49)</f>
        <v>42309.7</v>
      </c>
      <c r="I49" s="49">
        <f t="shared" si="28"/>
        <v>0</v>
      </c>
      <c r="J49" s="51">
        <v>18</v>
      </c>
      <c r="K49" s="51">
        <v>11.2</v>
      </c>
      <c r="L49" s="51">
        <f>K49/J49*100</f>
        <v>62.22222222222222</v>
      </c>
      <c r="M49" s="51">
        <f>7010.6+83-8</f>
        <v>7085.6</v>
      </c>
      <c r="N49" s="51">
        <v>2296.8</v>
      </c>
      <c r="O49" s="51">
        <f>SUM(M49:N49)</f>
        <v>9382.400000000001</v>
      </c>
      <c r="P49" s="49">
        <v>0</v>
      </c>
      <c r="Q49" s="51">
        <v>18</v>
      </c>
      <c r="R49" s="51">
        <v>5.5</v>
      </c>
      <c r="S49" s="51">
        <f>R49/Q49*100</f>
        <v>30.555555555555557</v>
      </c>
      <c r="T49" s="51">
        <v>6845.600000000001</v>
      </c>
      <c r="U49" s="51">
        <f>ROUND(T49*0.31,1)</f>
        <v>2122.1</v>
      </c>
      <c r="V49" s="51">
        <f>SUM(T49:U49)</f>
        <v>8967.7</v>
      </c>
      <c r="W49" s="49">
        <v>0</v>
      </c>
      <c r="X49" s="51">
        <v>24.2</v>
      </c>
      <c r="Y49" s="51">
        <v>12</v>
      </c>
      <c r="Z49" s="51">
        <f>Y49/X49*100</f>
        <v>49.586776859504134</v>
      </c>
      <c r="AA49" s="51">
        <v>7440.300000000001</v>
      </c>
      <c r="AB49" s="51">
        <f>ROUND(AA49*0.31,1)</f>
        <v>2306.5</v>
      </c>
      <c r="AC49" s="51">
        <f>SUM(AA49:AB49)</f>
        <v>9746.800000000001</v>
      </c>
      <c r="AD49" s="49">
        <v>0</v>
      </c>
      <c r="AE49" s="51">
        <v>17</v>
      </c>
      <c r="AF49" s="51">
        <v>12</v>
      </c>
      <c r="AG49" s="51">
        <f>AF49/AE49*100</f>
        <v>70.58823529411765</v>
      </c>
      <c r="AH49" s="51">
        <v>10849.5</v>
      </c>
      <c r="AI49" s="51">
        <f>ROUND(AH49*0.31,1)</f>
        <v>3363.3</v>
      </c>
      <c r="AJ49" s="51">
        <f>SUM(AH49:AI49)</f>
        <v>14212.8</v>
      </c>
      <c r="AK49" s="49">
        <v>0</v>
      </c>
    </row>
    <row r="50" spans="1:37" ht="18.75">
      <c r="A50" s="41" t="s">
        <v>30</v>
      </c>
      <c r="B50" s="39" t="s">
        <v>142</v>
      </c>
      <c r="C50" s="49">
        <v>9548</v>
      </c>
      <c r="D50" s="49">
        <v>2426.5</v>
      </c>
      <c r="E50" s="49">
        <v>25</v>
      </c>
      <c r="F50" s="49">
        <v>58677.1</v>
      </c>
      <c r="G50" s="49">
        <v>17603.2</v>
      </c>
      <c r="H50" s="58">
        <v>76280.3</v>
      </c>
      <c r="I50" s="49">
        <f t="shared" si="28"/>
        <v>16903.2</v>
      </c>
      <c r="J50" s="51">
        <v>2387</v>
      </c>
      <c r="K50" s="51">
        <v>485.3</v>
      </c>
      <c r="L50" s="51">
        <v>20.3</v>
      </c>
      <c r="M50" s="51">
        <v>14078.8</v>
      </c>
      <c r="N50" s="51">
        <v>4223.6</v>
      </c>
      <c r="O50" s="51">
        <v>18302.4</v>
      </c>
      <c r="P50" s="49">
        <v>3145.5</v>
      </c>
      <c r="Q50" s="51">
        <v>2387</v>
      </c>
      <c r="R50" s="51">
        <v>556.7</v>
      </c>
      <c r="S50" s="51">
        <f>_xlfn.IFERROR(R50/Q50*100,0)</f>
        <v>23.322161709258484</v>
      </c>
      <c r="T50" s="51">
        <v>14924.5</v>
      </c>
      <c r="U50" s="51">
        <v>4477.4</v>
      </c>
      <c r="V50" s="51">
        <v>19401.9</v>
      </c>
      <c r="W50" s="49">
        <v>3992</v>
      </c>
      <c r="X50" s="51">
        <v>2387</v>
      </c>
      <c r="Y50" s="51">
        <v>668.4</v>
      </c>
      <c r="Z50" s="51">
        <v>28</v>
      </c>
      <c r="AA50" s="51">
        <v>15045.3</v>
      </c>
      <c r="AB50" s="51">
        <v>4513.6</v>
      </c>
      <c r="AC50" s="51">
        <v>19558.9</v>
      </c>
      <c r="AD50" s="49">
        <v>4901.9</v>
      </c>
      <c r="AE50" s="51">
        <v>2387</v>
      </c>
      <c r="AF50" s="51">
        <v>716.1</v>
      </c>
      <c r="AG50" s="51">
        <v>30</v>
      </c>
      <c r="AH50" s="51">
        <v>14628.5</v>
      </c>
      <c r="AI50" s="51">
        <v>4388.6</v>
      </c>
      <c r="AJ50" s="51">
        <v>19017.1</v>
      </c>
      <c r="AK50" s="49">
        <v>4863.8</v>
      </c>
    </row>
    <row r="52" ht="15">
      <c r="U52" s="107"/>
    </row>
    <row r="53" spans="3:8" ht="15">
      <c r="C53" s="2">
        <v>0</v>
      </c>
      <c r="F53" s="2"/>
      <c r="G53" s="2"/>
      <c r="H53" s="2"/>
    </row>
    <row r="54" spans="8:9" ht="15">
      <c r="H54" s="1">
        <f>H48+AJ48*2</f>
        <v>1283935.8575000002</v>
      </c>
      <c r="I54" s="2">
        <f>I48+AK48*2</f>
        <v>1016134.010888889</v>
      </c>
    </row>
  </sheetData>
  <sheetProtection/>
  <mergeCells count="32">
    <mergeCell ref="J3:P3"/>
    <mergeCell ref="C4:E4"/>
    <mergeCell ref="Q4:S4"/>
    <mergeCell ref="N4:N5"/>
    <mergeCell ref="F4:F5"/>
    <mergeCell ref="A3:A5"/>
    <mergeCell ref="B3:B5"/>
    <mergeCell ref="J4:L4"/>
    <mergeCell ref="P4:P5"/>
    <mergeCell ref="H4:H5"/>
    <mergeCell ref="C3:I3"/>
    <mergeCell ref="G4:G5"/>
    <mergeCell ref="U4:U5"/>
    <mergeCell ref="O4:O5"/>
    <mergeCell ref="I4:I5"/>
    <mergeCell ref="M4:M5"/>
    <mergeCell ref="B1:H1"/>
    <mergeCell ref="AD4:AD5"/>
    <mergeCell ref="T4:T5"/>
    <mergeCell ref="W4:W5"/>
    <mergeCell ref="AB4:AB5"/>
    <mergeCell ref="X4:Z4"/>
    <mergeCell ref="X3:AD3"/>
    <mergeCell ref="AH4:AH5"/>
    <mergeCell ref="V4:V5"/>
    <mergeCell ref="AE4:AG4"/>
    <mergeCell ref="AE3:AK3"/>
    <mergeCell ref="AC4:AC5"/>
    <mergeCell ref="AA4:AA5"/>
    <mergeCell ref="AI4:AI5"/>
    <mergeCell ref="AJ4:AJ5"/>
    <mergeCell ref="Q3:W3"/>
  </mergeCells>
  <printOptions horizontalCentered="1"/>
  <pageMargins left="0" right="0" top="1.1811023622047245" bottom="0" header="0.5118110236220472" footer="0.5118110236220472"/>
  <pageSetup blackAndWhite="1" horizontalDpi="600" verticalDpi="600" orientation="landscape" paperSize="9" scale="40" r:id="rId1"/>
  <colBreaks count="2" manualBreakCount="2">
    <brk id="9" max="49" man="1"/>
    <brk id="36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J57"/>
  <sheetViews>
    <sheetView zoomScale="87" zoomScaleNormal="87" zoomScaleSheetLayoutView="70" zoomScalePageLayoutView="0" workbookViewId="0" topLeftCell="A1">
      <selection activeCell="N20" sqref="N20"/>
    </sheetView>
  </sheetViews>
  <sheetFormatPr defaultColWidth="9.8515625" defaultRowHeight="15"/>
  <cols>
    <col min="1" max="1" width="7.00390625" style="1" customWidth="1"/>
    <col min="2" max="2" width="44.7109375" style="2" customWidth="1"/>
    <col min="3" max="3" width="13.57421875" style="2" customWidth="1"/>
    <col min="4" max="4" width="13.7109375" style="2" customWidth="1"/>
    <col min="5" max="5" width="11.28125" style="2" customWidth="1"/>
    <col min="6" max="6" width="15.421875" style="1" customWidth="1"/>
    <col min="7" max="7" width="11.00390625" style="1" customWidth="1"/>
    <col min="8" max="8" width="14.140625" style="1" customWidth="1"/>
    <col min="9" max="10" width="17.28125" style="2" customWidth="1"/>
    <col min="11" max="12" width="8.7109375" style="2" customWidth="1"/>
    <col min="13" max="13" width="10.28125" style="2" customWidth="1"/>
    <col min="14" max="14" width="13.7109375" style="2" customWidth="1"/>
    <col min="15" max="15" width="10.57421875" style="2" customWidth="1"/>
    <col min="16" max="16" width="11.7109375" style="2" customWidth="1"/>
    <col min="17" max="18" width="18.28125" style="2" customWidth="1"/>
    <col min="19" max="20" width="8.7109375" style="2" customWidth="1"/>
    <col min="21" max="21" width="10.28125" style="2" customWidth="1"/>
    <col min="22" max="22" width="13.7109375" style="2" customWidth="1"/>
    <col min="23" max="23" width="10.57421875" style="2" customWidth="1"/>
    <col min="24" max="24" width="11.140625" style="2" customWidth="1"/>
    <col min="25" max="26" width="15.8515625" style="2" customWidth="1"/>
    <col min="27" max="29" width="8.7109375" style="2" customWidth="1"/>
    <col min="30" max="30" width="14.28125" style="2" customWidth="1"/>
    <col min="31" max="31" width="11.57421875" style="2" customWidth="1"/>
    <col min="32" max="32" width="10.57421875" style="2" customWidth="1"/>
    <col min="33" max="34" width="17.57421875" style="2" customWidth="1"/>
    <col min="35" max="35" width="10.57421875" style="2" customWidth="1"/>
    <col min="36" max="36" width="11.28125" style="2" customWidth="1"/>
    <col min="37" max="37" width="9.140625" style="2" customWidth="1"/>
    <col min="38" max="38" width="10.57421875" style="2" customWidth="1"/>
    <col min="39" max="39" width="11.421875" style="2" customWidth="1"/>
    <col min="40" max="40" width="11.00390625" style="2" customWidth="1"/>
    <col min="41" max="42" width="17.00390625" style="2" customWidth="1"/>
    <col min="43" max="50" width="8.7109375" style="2" customWidth="1"/>
    <col min="51" max="16384" width="9.8515625" style="2" customWidth="1"/>
  </cols>
  <sheetData>
    <row r="1" spans="2:218" s="4" customFormat="1" ht="18.75">
      <c r="B1" s="77"/>
      <c r="C1" s="77"/>
      <c r="D1" s="77"/>
      <c r="E1" s="77"/>
      <c r="G1" s="78" t="s">
        <v>116</v>
      </c>
      <c r="H1" s="77"/>
      <c r="I1" s="14"/>
      <c r="J1" s="14"/>
      <c r="K1" s="14"/>
      <c r="L1" s="14"/>
      <c r="M1" s="14"/>
      <c r="N1" s="14"/>
      <c r="O1" s="1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</row>
    <row r="2" spans="2:218" s="4" customFormat="1" ht="18.75">
      <c r="B2" s="77"/>
      <c r="C2" s="77"/>
      <c r="D2" s="77"/>
      <c r="E2" s="77"/>
      <c r="G2" s="78" t="s">
        <v>117</v>
      </c>
      <c r="H2" s="77"/>
      <c r="I2" s="14"/>
      <c r="J2" s="14"/>
      <c r="K2" s="14"/>
      <c r="L2" s="14"/>
      <c r="M2" s="14"/>
      <c r="N2" s="14"/>
      <c r="O2" s="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</row>
    <row r="3" spans="2:218" s="4" customFormat="1" ht="18.75">
      <c r="B3" s="77"/>
      <c r="C3" s="77"/>
      <c r="D3" s="77"/>
      <c r="E3" s="77"/>
      <c r="G3" s="78" t="s">
        <v>118</v>
      </c>
      <c r="H3" s="77"/>
      <c r="I3" s="14"/>
      <c r="J3" s="14"/>
      <c r="K3" s="14"/>
      <c r="L3" s="14"/>
      <c r="M3" s="14"/>
      <c r="N3" s="14"/>
      <c r="O3" s="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</row>
    <row r="4" spans="1:218" s="4" customFormat="1" ht="18.75">
      <c r="A4" s="34" t="s">
        <v>59</v>
      </c>
      <c r="F4" s="18"/>
      <c r="G4" s="18"/>
      <c r="H4" s="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182" s="4" customFormat="1" ht="19.5" customHeight="1">
      <c r="A5" s="218"/>
      <c r="B5" s="219"/>
      <c r="C5" s="216" t="s">
        <v>53</v>
      </c>
      <c r="D5" s="216"/>
      <c r="E5" s="216"/>
      <c r="F5" s="216"/>
      <c r="G5" s="216"/>
      <c r="H5" s="216"/>
      <c r="I5" s="216"/>
      <c r="J5" s="62"/>
      <c r="K5" s="244" t="s">
        <v>37</v>
      </c>
      <c r="L5" s="259"/>
      <c r="M5" s="259"/>
      <c r="N5" s="259"/>
      <c r="O5" s="259"/>
      <c r="P5" s="259"/>
      <c r="Q5" s="259"/>
      <c r="R5" s="253"/>
      <c r="S5" s="244" t="s">
        <v>38</v>
      </c>
      <c r="T5" s="259"/>
      <c r="U5" s="259"/>
      <c r="V5" s="259"/>
      <c r="W5" s="259"/>
      <c r="X5" s="259"/>
      <c r="Y5" s="259"/>
      <c r="Z5" s="253"/>
      <c r="AA5" s="244" t="s">
        <v>39</v>
      </c>
      <c r="AB5" s="259"/>
      <c r="AC5" s="259"/>
      <c r="AD5" s="259"/>
      <c r="AE5" s="259"/>
      <c r="AF5" s="259"/>
      <c r="AG5" s="259"/>
      <c r="AH5" s="253"/>
      <c r="AI5" s="244" t="s">
        <v>40</v>
      </c>
      <c r="AJ5" s="259"/>
      <c r="AK5" s="259"/>
      <c r="AL5" s="259"/>
      <c r="AM5" s="259"/>
      <c r="AN5" s="259"/>
      <c r="AO5" s="259"/>
      <c r="AP5" s="25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</row>
    <row r="6" spans="1:182" s="4" customFormat="1" ht="62.25" customHeight="1">
      <c r="A6" s="218"/>
      <c r="B6" s="219"/>
      <c r="C6" s="219" t="s">
        <v>106</v>
      </c>
      <c r="D6" s="219"/>
      <c r="E6" s="219"/>
      <c r="F6" s="241" t="s">
        <v>107</v>
      </c>
      <c r="G6" s="241" t="s">
        <v>56</v>
      </c>
      <c r="H6" s="241" t="s">
        <v>57</v>
      </c>
      <c r="I6" s="216" t="s">
        <v>58</v>
      </c>
      <c r="J6" s="260" t="s">
        <v>110</v>
      </c>
      <c r="K6" s="219" t="s">
        <v>54</v>
      </c>
      <c r="L6" s="219"/>
      <c r="M6" s="219"/>
      <c r="N6" s="241" t="s">
        <v>107</v>
      </c>
      <c r="O6" s="241" t="s">
        <v>56</v>
      </c>
      <c r="P6" s="241" t="s">
        <v>57</v>
      </c>
      <c r="Q6" s="216" t="s">
        <v>58</v>
      </c>
      <c r="R6" s="260" t="s">
        <v>109</v>
      </c>
      <c r="S6" s="219" t="s">
        <v>54</v>
      </c>
      <c r="T6" s="219"/>
      <c r="U6" s="219"/>
      <c r="V6" s="241" t="s">
        <v>107</v>
      </c>
      <c r="W6" s="241" t="s">
        <v>56</v>
      </c>
      <c r="X6" s="241" t="s">
        <v>57</v>
      </c>
      <c r="Y6" s="216" t="s">
        <v>58</v>
      </c>
      <c r="Z6" s="260" t="s">
        <v>109</v>
      </c>
      <c r="AA6" s="219" t="s">
        <v>54</v>
      </c>
      <c r="AB6" s="219"/>
      <c r="AC6" s="219"/>
      <c r="AD6" s="241" t="s">
        <v>107</v>
      </c>
      <c r="AE6" s="241" t="s">
        <v>56</v>
      </c>
      <c r="AF6" s="241" t="s">
        <v>57</v>
      </c>
      <c r="AG6" s="216" t="s">
        <v>58</v>
      </c>
      <c r="AH6" s="260" t="s">
        <v>109</v>
      </c>
      <c r="AI6" s="219" t="s">
        <v>54</v>
      </c>
      <c r="AJ6" s="219"/>
      <c r="AK6" s="219"/>
      <c r="AL6" s="241" t="s">
        <v>107</v>
      </c>
      <c r="AM6" s="241" t="s">
        <v>56</v>
      </c>
      <c r="AN6" s="241" t="s">
        <v>57</v>
      </c>
      <c r="AO6" s="216" t="s">
        <v>58</v>
      </c>
      <c r="AP6" s="260" t="s">
        <v>109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</row>
    <row r="7" spans="1:182" s="4" customFormat="1" ht="75.75" customHeight="1">
      <c r="A7" s="218"/>
      <c r="B7" s="219"/>
      <c r="C7" s="30" t="s">
        <v>50</v>
      </c>
      <c r="D7" s="30" t="s">
        <v>51</v>
      </c>
      <c r="E7" s="30" t="s">
        <v>52</v>
      </c>
      <c r="F7" s="241"/>
      <c r="G7" s="241"/>
      <c r="H7" s="241"/>
      <c r="I7" s="216"/>
      <c r="J7" s="261"/>
      <c r="K7" s="30" t="s">
        <v>50</v>
      </c>
      <c r="L7" s="30" t="s">
        <v>51</v>
      </c>
      <c r="M7" s="30" t="s">
        <v>52</v>
      </c>
      <c r="N7" s="241"/>
      <c r="O7" s="241"/>
      <c r="P7" s="241"/>
      <c r="Q7" s="216"/>
      <c r="R7" s="261"/>
      <c r="S7" s="30" t="s">
        <v>50</v>
      </c>
      <c r="T7" s="30" t="s">
        <v>51</v>
      </c>
      <c r="U7" s="30" t="s">
        <v>52</v>
      </c>
      <c r="V7" s="241"/>
      <c r="W7" s="241"/>
      <c r="X7" s="241"/>
      <c r="Y7" s="216"/>
      <c r="Z7" s="261"/>
      <c r="AA7" s="30" t="s">
        <v>50</v>
      </c>
      <c r="AB7" s="30" t="s">
        <v>51</v>
      </c>
      <c r="AC7" s="30" t="s">
        <v>52</v>
      </c>
      <c r="AD7" s="241"/>
      <c r="AE7" s="241"/>
      <c r="AF7" s="241"/>
      <c r="AG7" s="216"/>
      <c r="AH7" s="261"/>
      <c r="AI7" s="30" t="s">
        <v>50</v>
      </c>
      <c r="AJ7" s="30" t="s">
        <v>51</v>
      </c>
      <c r="AK7" s="30" t="s">
        <v>52</v>
      </c>
      <c r="AL7" s="241"/>
      <c r="AM7" s="241"/>
      <c r="AN7" s="241"/>
      <c r="AO7" s="216"/>
      <c r="AP7" s="26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</row>
    <row r="8" spans="1:182" s="4" customFormat="1" ht="30.75" customHeight="1">
      <c r="A8" s="35"/>
      <c r="B8" s="43" t="s">
        <v>64</v>
      </c>
      <c r="C8" s="54">
        <f>C10+C20+C32+C49+C50+C51+C52</f>
        <v>10370.7</v>
      </c>
      <c r="D8" s="54">
        <f>D10+D20+D32+D49+D50+D51+D52</f>
        <v>3115.281</v>
      </c>
      <c r="E8" s="54">
        <f>D8/C8*100</f>
        <v>30.03925482368596</v>
      </c>
      <c r="F8" s="54">
        <f>F10+F20+F32+F49+F50+F51+F52</f>
        <v>2550640.6448161174</v>
      </c>
      <c r="G8" s="54">
        <f>G10+G20+G32+G49+G50+G51+G52</f>
        <v>765505.0204448351</v>
      </c>
      <c r="H8" s="54">
        <f>SUM(F8:G8)</f>
        <v>3316145.6652609524</v>
      </c>
      <c r="I8" s="54">
        <f>SUM(I10:I52)</f>
        <v>809390.7562222222</v>
      </c>
      <c r="J8" s="54">
        <f>I8-F8</f>
        <v>-1741249.8885938951</v>
      </c>
      <c r="K8" s="54">
        <f>K10+K20+K32+K49+K50+K51+K52</f>
        <v>2553.2</v>
      </c>
      <c r="L8" s="54">
        <f>L10+L20+L32+L49+L50+L51+L52</f>
        <v>601.432</v>
      </c>
      <c r="M8" s="48">
        <f>L8/K8*100</f>
        <v>23.556008146639513</v>
      </c>
      <c r="N8" s="54">
        <f>N10+N20+N32+N49+N50+N51+N52</f>
        <v>641176.5752592591</v>
      </c>
      <c r="O8" s="54">
        <f>O10+O20+O32+O49+O50+O51+O52</f>
        <v>192428.9825777777</v>
      </c>
      <c r="P8" s="48">
        <f>SUM(N8:O8)</f>
        <v>833605.5578370368</v>
      </c>
      <c r="Q8" s="54">
        <f>SUM(Q10:Q52)</f>
        <v>181291.5</v>
      </c>
      <c r="R8" s="54">
        <f>Q8-N8</f>
        <v>-459885.0752592591</v>
      </c>
      <c r="S8" s="54">
        <f>S10+S20+S32+S49+S50+S51+S52</f>
        <v>2568.9</v>
      </c>
      <c r="T8" s="54">
        <f>T10+T20+T32+T49+T50+T51+T52</f>
        <v>719.354</v>
      </c>
      <c r="U8" s="48">
        <f>T8/S8*100</f>
        <v>28.00241348437074</v>
      </c>
      <c r="V8" s="54">
        <f>V10+V20+V32+V49+V50+V51+V52</f>
        <v>594089.4237753879</v>
      </c>
      <c r="W8" s="54">
        <f>W10+W20+W32+W49+W50+W51+W52</f>
        <v>178280.78413261642</v>
      </c>
      <c r="X8" s="48">
        <f>SUM(V8:W8)</f>
        <v>772370.2079080043</v>
      </c>
      <c r="Y8" s="54">
        <f>SUM(Y10:Y52)</f>
        <v>196799.71155555555</v>
      </c>
      <c r="Z8" s="54">
        <f>Y8-V8</f>
        <v>-397289.71221983235</v>
      </c>
      <c r="AA8" s="54">
        <f>AA10+AA20+AA32+AA49+AA50+AA51+AA52</f>
        <v>2606</v>
      </c>
      <c r="AB8" s="54">
        <f>AB10+AB20+AB32+AB49+AB50+AB51+AB52</f>
        <v>852.835</v>
      </c>
      <c r="AC8" s="48">
        <f>AB8/AA8*100</f>
        <v>32.725825019186495</v>
      </c>
      <c r="AD8" s="54">
        <f>AD10+AD20+AD32+AD49+AD50+AD51+AD52</f>
        <v>632406.865925926</v>
      </c>
      <c r="AE8" s="54">
        <f>AE10+AE20+AE32+AE49+AE50+AE51+AE52</f>
        <v>189796.4697777778</v>
      </c>
      <c r="AF8" s="48">
        <f>SUM(AD8:AE8)</f>
        <v>822203.3357037038</v>
      </c>
      <c r="AG8" s="54">
        <f>SUM(AG10:AG52)</f>
        <v>213534.91155555556</v>
      </c>
      <c r="AH8" s="54">
        <f>AG8-AD8</f>
        <v>-418871.9543703705</v>
      </c>
      <c r="AI8" s="54">
        <f>AI10+AI20+AI32+AI49+AI50+AI51+AI52</f>
        <v>2642.6</v>
      </c>
      <c r="AJ8" s="54">
        <f>AJ10+AJ20+AJ32+AJ49+AJ50+AJ51+AJ52</f>
        <v>941.6600000000001</v>
      </c>
      <c r="AK8" s="48">
        <f>AJ8/AI8*100</f>
        <v>35.633845455233484</v>
      </c>
      <c r="AL8" s="54">
        <f>AL10+AL20+AL32+AL49+AL50+AL51+AL52</f>
        <v>682967.7798555442</v>
      </c>
      <c r="AM8" s="54">
        <f>AM10+AM20+AM32+AM49+AM50+AM51+AM52</f>
        <v>204998.78395666325</v>
      </c>
      <c r="AN8" s="48">
        <f>SUM(AL8:AM8)</f>
        <v>887966.5638122074</v>
      </c>
      <c r="AO8" s="54">
        <f>SUM(AO10:AO52)</f>
        <v>217764.6331111111</v>
      </c>
      <c r="AP8" s="54">
        <f>AO8-AL8</f>
        <v>-465203.1467444331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</row>
    <row r="9" spans="1:182" s="4" customFormat="1" ht="19.5" customHeight="1">
      <c r="A9" s="69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1"/>
      <c r="O9" s="71"/>
      <c r="P9" s="72"/>
      <c r="Q9" s="71"/>
      <c r="R9" s="71"/>
      <c r="S9" s="71"/>
      <c r="T9" s="71"/>
      <c r="U9" s="72"/>
      <c r="V9" s="71"/>
      <c r="W9" s="71"/>
      <c r="X9" s="72"/>
      <c r="Y9" s="71"/>
      <c r="Z9" s="71"/>
      <c r="AA9" s="71"/>
      <c r="AB9" s="71"/>
      <c r="AC9" s="72"/>
      <c r="AD9" s="71"/>
      <c r="AE9" s="71"/>
      <c r="AF9" s="72"/>
      <c r="AG9" s="71"/>
      <c r="AH9" s="71"/>
      <c r="AI9" s="71"/>
      <c r="AJ9" s="71"/>
      <c r="AK9" s="72"/>
      <c r="AL9" s="71"/>
      <c r="AM9" s="71"/>
      <c r="AN9" s="72"/>
      <c r="AO9" s="71"/>
      <c r="AP9" s="71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</row>
    <row r="10" spans="1:42" s="13" customFormat="1" ht="41.25" customHeight="1">
      <c r="A10" s="42" t="s">
        <v>41</v>
      </c>
      <c r="B10" s="37" t="s">
        <v>60</v>
      </c>
      <c r="C10" s="49">
        <f>SUM(C11:C19)</f>
        <v>53</v>
      </c>
      <c r="D10" s="49">
        <f>SUM(D11:D19)</f>
        <v>0</v>
      </c>
      <c r="E10" s="49">
        <f>D10/C10*100</f>
        <v>0</v>
      </c>
      <c r="F10" s="49">
        <f aca="true" t="shared" si="0" ref="F10:L10">SUM(F11:F19)</f>
        <v>272840.19999999995</v>
      </c>
      <c r="G10" s="49">
        <f t="shared" si="0"/>
        <v>81852.06000000001</v>
      </c>
      <c r="H10" s="49">
        <f t="shared" si="0"/>
        <v>354692.25999999995</v>
      </c>
      <c r="I10" s="49">
        <f t="shared" si="0"/>
        <v>0</v>
      </c>
      <c r="J10" s="54">
        <f aca="true" t="shared" si="1" ref="J10:J52">I10-F10</f>
        <v>-272840.19999999995</v>
      </c>
      <c r="K10" s="49">
        <f t="shared" si="0"/>
        <v>6</v>
      </c>
      <c r="L10" s="49">
        <f t="shared" si="0"/>
        <v>0</v>
      </c>
      <c r="M10" s="49">
        <f>L10/K10*100</f>
        <v>0</v>
      </c>
      <c r="N10" s="49">
        <f aca="true" t="shared" si="2" ref="N10:T10">SUM(N11:N19)</f>
        <v>68139</v>
      </c>
      <c r="O10" s="49">
        <f t="shared" si="2"/>
        <v>20441.699999999997</v>
      </c>
      <c r="P10" s="49">
        <f t="shared" si="2"/>
        <v>88580.70000000001</v>
      </c>
      <c r="Q10" s="49">
        <f t="shared" si="2"/>
        <v>0</v>
      </c>
      <c r="R10" s="54">
        <f aca="true" t="shared" si="3" ref="R10:R52">Q10-N10</f>
        <v>-68139</v>
      </c>
      <c r="S10" s="49">
        <f t="shared" si="2"/>
        <v>13</v>
      </c>
      <c r="T10" s="49">
        <f t="shared" si="2"/>
        <v>0</v>
      </c>
      <c r="U10" s="49">
        <f>T10/S10*100</f>
        <v>0</v>
      </c>
      <c r="V10" s="49">
        <f aca="true" t="shared" si="4" ref="V10:AB10">SUM(V11:V19)</f>
        <v>65390.9</v>
      </c>
      <c r="W10" s="49">
        <f t="shared" si="4"/>
        <v>19617.270000000004</v>
      </c>
      <c r="X10" s="49">
        <f t="shared" si="4"/>
        <v>85008.16999999998</v>
      </c>
      <c r="Y10" s="49">
        <f t="shared" si="4"/>
        <v>0</v>
      </c>
      <c r="Z10" s="54">
        <f aca="true" t="shared" si="5" ref="Z10:Z52">Y10-V10</f>
        <v>-65390.9</v>
      </c>
      <c r="AA10" s="49">
        <f t="shared" si="4"/>
        <v>14</v>
      </c>
      <c r="AB10" s="49">
        <f t="shared" si="4"/>
        <v>0</v>
      </c>
      <c r="AC10" s="49">
        <f>AB10/AA10*100</f>
        <v>0</v>
      </c>
      <c r="AD10" s="49">
        <f aca="true" t="shared" si="6" ref="AD10:AJ10">SUM(AD11:AD19)</f>
        <v>72141.5</v>
      </c>
      <c r="AE10" s="49">
        <f t="shared" si="6"/>
        <v>21642.45</v>
      </c>
      <c r="AF10" s="49">
        <f t="shared" si="6"/>
        <v>93783.95</v>
      </c>
      <c r="AG10" s="49">
        <f t="shared" si="6"/>
        <v>0</v>
      </c>
      <c r="AH10" s="54">
        <f aca="true" t="shared" si="7" ref="AH10:AH52">AG10-AD10</f>
        <v>-72141.5</v>
      </c>
      <c r="AI10" s="49">
        <f t="shared" si="6"/>
        <v>20</v>
      </c>
      <c r="AJ10" s="49">
        <f t="shared" si="6"/>
        <v>0</v>
      </c>
      <c r="AK10" s="49">
        <f>AJ10/AI10*100</f>
        <v>0</v>
      </c>
      <c r="AL10" s="49">
        <f>SUM(AL11:AL19)</f>
        <v>67168.79999999999</v>
      </c>
      <c r="AM10" s="49">
        <f>SUM(AM11:AM19)</f>
        <v>20150.64</v>
      </c>
      <c r="AN10" s="49">
        <f>SUM(AN11:AN19)</f>
        <v>87319.44</v>
      </c>
      <c r="AO10" s="49">
        <f>SUM(AO11:AO19)</f>
        <v>0</v>
      </c>
      <c r="AP10" s="54">
        <f aca="true" t="shared" si="8" ref="AP10:AP52">AO10-AL10</f>
        <v>-67168.79999999999</v>
      </c>
    </row>
    <row r="11" spans="1:42" s="3" customFormat="1" ht="18.75" customHeight="1">
      <c r="A11" s="5">
        <v>1</v>
      </c>
      <c r="B11" s="36" t="s">
        <v>65</v>
      </c>
      <c r="C11" s="56">
        <f aca="true" t="shared" si="9" ref="C11:C19">K11+S11+AA11+AI11</f>
        <v>53</v>
      </c>
      <c r="D11" s="56">
        <f aca="true" t="shared" si="10" ref="D11:D19">L11+T11+AB11+AJ11</f>
        <v>0</v>
      </c>
      <c r="E11" s="56"/>
      <c r="F11" s="56">
        <f aca="true" t="shared" si="11" ref="F11:F19">N11+V11+AD11+AL11</f>
        <v>228173</v>
      </c>
      <c r="G11" s="56">
        <f aca="true" t="shared" si="12" ref="G11:G19">O11+W11+AE11+AM11</f>
        <v>68451.9</v>
      </c>
      <c r="H11" s="68">
        <f>SUM(F11:G11)</f>
        <v>296624.9</v>
      </c>
      <c r="I11" s="56">
        <f aca="true" t="shared" si="13" ref="I11:I19">Q11+Y11+AG11+AO11</f>
        <v>0</v>
      </c>
      <c r="J11" s="54">
        <f t="shared" si="1"/>
        <v>-228173</v>
      </c>
      <c r="K11" s="53">
        <v>6</v>
      </c>
      <c r="L11" s="53">
        <v>0</v>
      </c>
      <c r="M11" s="45">
        <v>0</v>
      </c>
      <c r="N11" s="53">
        <v>57017</v>
      </c>
      <c r="O11" s="53">
        <f>N11*0.3</f>
        <v>17105.1</v>
      </c>
      <c r="P11" s="47">
        <f>SUM(N11:O11)</f>
        <v>74122.1</v>
      </c>
      <c r="Q11" s="68">
        <v>0</v>
      </c>
      <c r="R11" s="54">
        <f t="shared" si="3"/>
        <v>-57017</v>
      </c>
      <c r="S11" s="67">
        <v>13</v>
      </c>
      <c r="T11" s="67">
        <v>0</v>
      </c>
      <c r="U11" s="45">
        <v>0</v>
      </c>
      <c r="V11" s="53">
        <v>54272</v>
      </c>
      <c r="W11" s="53">
        <f>V11*0.3</f>
        <v>16281.599999999999</v>
      </c>
      <c r="X11" s="47">
        <f>SUM(V11:W11)</f>
        <v>70553.6</v>
      </c>
      <c r="Y11" s="68">
        <v>0</v>
      </c>
      <c r="Z11" s="54">
        <f t="shared" si="5"/>
        <v>-54272</v>
      </c>
      <c r="AA11" s="67">
        <v>14</v>
      </c>
      <c r="AB11" s="67">
        <v>0</v>
      </c>
      <c r="AC11" s="45">
        <v>0</v>
      </c>
      <c r="AD11" s="53">
        <v>60887</v>
      </c>
      <c r="AE11" s="53">
        <f>AD11*0.3</f>
        <v>18266.1</v>
      </c>
      <c r="AF11" s="47">
        <f>SUM(AD11:AE11)</f>
        <v>79153.1</v>
      </c>
      <c r="AG11" s="68">
        <v>0</v>
      </c>
      <c r="AH11" s="54">
        <f t="shared" si="7"/>
        <v>-60887</v>
      </c>
      <c r="AI11" s="53">
        <v>20</v>
      </c>
      <c r="AJ11" s="53">
        <v>0</v>
      </c>
      <c r="AK11" s="45">
        <v>0</v>
      </c>
      <c r="AL11" s="53">
        <v>55997</v>
      </c>
      <c r="AM11" s="53">
        <f>AL11*0.3</f>
        <v>16799.1</v>
      </c>
      <c r="AN11" s="47">
        <f>SUM(AL11:AM11)</f>
        <v>72796.1</v>
      </c>
      <c r="AO11" s="68">
        <v>0</v>
      </c>
      <c r="AP11" s="54">
        <f t="shared" si="8"/>
        <v>-55997</v>
      </c>
    </row>
    <row r="12" spans="1:42" s="3" customFormat="1" ht="18.75" customHeight="1">
      <c r="A12" s="5">
        <v>2</v>
      </c>
      <c r="B12" s="36" t="s">
        <v>66</v>
      </c>
      <c r="C12" s="56">
        <f t="shared" si="9"/>
        <v>0</v>
      </c>
      <c r="D12" s="56">
        <f t="shared" si="10"/>
        <v>0</v>
      </c>
      <c r="E12" s="56"/>
      <c r="F12" s="56">
        <f t="shared" si="11"/>
        <v>8252.300000000001</v>
      </c>
      <c r="G12" s="56">
        <f t="shared" si="12"/>
        <v>2475.69</v>
      </c>
      <c r="H12" s="68">
        <f aca="true" t="shared" si="14" ref="H12:H19">SUM(F12:G12)</f>
        <v>10727.990000000002</v>
      </c>
      <c r="I12" s="56">
        <f t="shared" si="13"/>
        <v>0</v>
      </c>
      <c r="J12" s="54">
        <f t="shared" si="1"/>
        <v>-8252.300000000001</v>
      </c>
      <c r="K12" s="45"/>
      <c r="L12" s="45"/>
      <c r="M12" s="45">
        <v>0</v>
      </c>
      <c r="N12" s="53">
        <v>2172.8</v>
      </c>
      <c r="O12" s="53">
        <f aca="true" t="shared" si="15" ref="O12:O19">N12*0.3</f>
        <v>651.84</v>
      </c>
      <c r="P12" s="47">
        <f aca="true" t="shared" si="16" ref="P12:P48">SUM(N12:O12)</f>
        <v>2824.6400000000003</v>
      </c>
      <c r="Q12" s="68">
        <v>0</v>
      </c>
      <c r="R12" s="54">
        <f t="shared" si="3"/>
        <v>-2172.8</v>
      </c>
      <c r="S12" s="45"/>
      <c r="T12" s="45"/>
      <c r="U12" s="45"/>
      <c r="V12" s="53">
        <v>1983.4</v>
      </c>
      <c r="W12" s="53">
        <f aca="true" t="shared" si="17" ref="W12:W19">V12*0.3</f>
        <v>595.02</v>
      </c>
      <c r="X12" s="47">
        <f aca="true" t="shared" si="18" ref="X12:X19">SUM(V12:W12)</f>
        <v>2578.42</v>
      </c>
      <c r="Y12" s="68">
        <v>0</v>
      </c>
      <c r="Z12" s="54">
        <f t="shared" si="5"/>
        <v>-1983.4</v>
      </c>
      <c r="AA12" s="45"/>
      <c r="AB12" s="45"/>
      <c r="AC12" s="45"/>
      <c r="AD12" s="53">
        <v>2086.8</v>
      </c>
      <c r="AE12" s="53">
        <f aca="true" t="shared" si="19" ref="AE12:AE19">AD12*0.3</f>
        <v>626.0400000000001</v>
      </c>
      <c r="AF12" s="47">
        <f aca="true" t="shared" si="20" ref="AF12:AF19">SUM(AD12:AE12)</f>
        <v>2712.84</v>
      </c>
      <c r="AG12" s="68">
        <v>0</v>
      </c>
      <c r="AH12" s="54">
        <f t="shared" si="7"/>
        <v>-2086.8</v>
      </c>
      <c r="AI12" s="45"/>
      <c r="AJ12" s="45"/>
      <c r="AK12" s="45"/>
      <c r="AL12" s="53">
        <v>2009.3</v>
      </c>
      <c r="AM12" s="53">
        <f aca="true" t="shared" si="21" ref="AM12:AM19">AL12*0.3</f>
        <v>602.79</v>
      </c>
      <c r="AN12" s="47">
        <f aca="true" t="shared" si="22" ref="AN12:AN19">SUM(AL12:AM12)</f>
        <v>2612.09</v>
      </c>
      <c r="AO12" s="68">
        <v>0</v>
      </c>
      <c r="AP12" s="54">
        <f t="shared" si="8"/>
        <v>-2009.3</v>
      </c>
    </row>
    <row r="13" spans="1:42" s="3" customFormat="1" ht="18.75" customHeight="1">
      <c r="A13" s="5">
        <v>3</v>
      </c>
      <c r="B13" s="36" t="s">
        <v>67</v>
      </c>
      <c r="C13" s="56">
        <f t="shared" si="9"/>
        <v>0</v>
      </c>
      <c r="D13" s="56">
        <f t="shared" si="10"/>
        <v>0</v>
      </c>
      <c r="E13" s="56"/>
      <c r="F13" s="56">
        <f t="shared" si="11"/>
        <v>4353.6</v>
      </c>
      <c r="G13" s="56">
        <f t="shared" si="12"/>
        <v>1306.08</v>
      </c>
      <c r="H13" s="68">
        <f t="shared" si="14"/>
        <v>5659.68</v>
      </c>
      <c r="I13" s="56">
        <f t="shared" si="13"/>
        <v>0</v>
      </c>
      <c r="J13" s="54">
        <f t="shared" si="1"/>
        <v>-4353.6</v>
      </c>
      <c r="K13" s="45"/>
      <c r="L13" s="45"/>
      <c r="M13" s="45">
        <v>0</v>
      </c>
      <c r="N13" s="53">
        <v>886.3</v>
      </c>
      <c r="O13" s="53">
        <f t="shared" si="15"/>
        <v>265.89</v>
      </c>
      <c r="P13" s="47">
        <f t="shared" si="16"/>
        <v>1152.19</v>
      </c>
      <c r="Q13" s="68">
        <v>0</v>
      </c>
      <c r="R13" s="54">
        <f t="shared" si="3"/>
        <v>-886.3</v>
      </c>
      <c r="S13" s="45"/>
      <c r="T13" s="45"/>
      <c r="U13" s="45"/>
      <c r="V13" s="53">
        <v>1107.7</v>
      </c>
      <c r="W13" s="53">
        <f t="shared" si="17"/>
        <v>332.31</v>
      </c>
      <c r="X13" s="47">
        <f t="shared" si="18"/>
        <v>1440.01</v>
      </c>
      <c r="Y13" s="68">
        <v>0</v>
      </c>
      <c r="Z13" s="54">
        <f t="shared" si="5"/>
        <v>-1107.7</v>
      </c>
      <c r="AA13" s="45"/>
      <c r="AB13" s="45"/>
      <c r="AC13" s="45"/>
      <c r="AD13" s="53">
        <v>1204.4</v>
      </c>
      <c r="AE13" s="53">
        <f t="shared" si="19"/>
        <v>361.32</v>
      </c>
      <c r="AF13" s="47">
        <f t="shared" si="20"/>
        <v>1565.72</v>
      </c>
      <c r="AG13" s="68">
        <v>0</v>
      </c>
      <c r="AH13" s="54">
        <f t="shared" si="7"/>
        <v>-1204.4</v>
      </c>
      <c r="AI13" s="45"/>
      <c r="AJ13" s="45"/>
      <c r="AK13" s="45"/>
      <c r="AL13" s="53">
        <v>1155.2</v>
      </c>
      <c r="AM13" s="53">
        <f t="shared" si="21"/>
        <v>346.56</v>
      </c>
      <c r="AN13" s="47">
        <f t="shared" si="22"/>
        <v>1501.76</v>
      </c>
      <c r="AO13" s="68">
        <v>0</v>
      </c>
      <c r="AP13" s="54">
        <f t="shared" si="8"/>
        <v>-1155.2</v>
      </c>
    </row>
    <row r="14" spans="1:42" s="3" customFormat="1" ht="18.75" customHeight="1">
      <c r="A14" s="5">
        <v>4</v>
      </c>
      <c r="B14" s="36" t="s">
        <v>68</v>
      </c>
      <c r="C14" s="56">
        <f t="shared" si="9"/>
        <v>0</v>
      </c>
      <c r="D14" s="56">
        <f t="shared" si="10"/>
        <v>0</v>
      </c>
      <c r="E14" s="56"/>
      <c r="F14" s="56">
        <f t="shared" si="11"/>
        <v>5400</v>
      </c>
      <c r="G14" s="56">
        <f t="shared" si="12"/>
        <v>1620</v>
      </c>
      <c r="H14" s="68">
        <f t="shared" si="14"/>
        <v>7020</v>
      </c>
      <c r="I14" s="56">
        <f t="shared" si="13"/>
        <v>0</v>
      </c>
      <c r="J14" s="54">
        <f t="shared" si="1"/>
        <v>-5400</v>
      </c>
      <c r="K14" s="45"/>
      <c r="L14" s="45"/>
      <c r="M14" s="45">
        <v>0</v>
      </c>
      <c r="N14" s="53">
        <v>1370</v>
      </c>
      <c r="O14" s="53">
        <f t="shared" si="15"/>
        <v>411</v>
      </c>
      <c r="P14" s="47">
        <f t="shared" si="16"/>
        <v>1781</v>
      </c>
      <c r="Q14" s="68">
        <v>0</v>
      </c>
      <c r="R14" s="54">
        <f t="shared" si="3"/>
        <v>-1370</v>
      </c>
      <c r="S14" s="45"/>
      <c r="T14" s="45"/>
      <c r="U14" s="45"/>
      <c r="V14" s="53">
        <v>1320</v>
      </c>
      <c r="W14" s="53">
        <f t="shared" si="17"/>
        <v>396</v>
      </c>
      <c r="X14" s="47">
        <f t="shared" si="18"/>
        <v>1716</v>
      </c>
      <c r="Y14" s="68">
        <v>0</v>
      </c>
      <c r="Z14" s="54">
        <f t="shared" si="5"/>
        <v>-1320</v>
      </c>
      <c r="AA14" s="45"/>
      <c r="AB14" s="45"/>
      <c r="AC14" s="45"/>
      <c r="AD14" s="53">
        <v>1330</v>
      </c>
      <c r="AE14" s="53">
        <f t="shared" si="19"/>
        <v>399</v>
      </c>
      <c r="AF14" s="47">
        <f t="shared" si="20"/>
        <v>1729</v>
      </c>
      <c r="AG14" s="68">
        <v>0</v>
      </c>
      <c r="AH14" s="54">
        <f t="shared" si="7"/>
        <v>-1330</v>
      </c>
      <c r="AI14" s="45"/>
      <c r="AJ14" s="45"/>
      <c r="AK14" s="45"/>
      <c r="AL14" s="53">
        <v>1380</v>
      </c>
      <c r="AM14" s="53">
        <f t="shared" si="21"/>
        <v>414</v>
      </c>
      <c r="AN14" s="47">
        <f t="shared" si="22"/>
        <v>1794</v>
      </c>
      <c r="AO14" s="68">
        <v>0</v>
      </c>
      <c r="AP14" s="54">
        <f t="shared" si="8"/>
        <v>-1380</v>
      </c>
    </row>
    <row r="15" spans="1:42" s="3" customFormat="1" ht="18.75" customHeight="1">
      <c r="A15" s="5">
        <v>5</v>
      </c>
      <c r="B15" s="36" t="s">
        <v>69</v>
      </c>
      <c r="C15" s="56">
        <f t="shared" si="9"/>
        <v>0</v>
      </c>
      <c r="D15" s="56">
        <f t="shared" si="10"/>
        <v>0</v>
      </c>
      <c r="E15" s="56"/>
      <c r="F15" s="56">
        <f t="shared" si="11"/>
        <v>1443.6</v>
      </c>
      <c r="G15" s="56">
        <f t="shared" si="12"/>
        <v>433.08</v>
      </c>
      <c r="H15" s="68">
        <f t="shared" si="14"/>
        <v>1876.6799999999998</v>
      </c>
      <c r="I15" s="56">
        <f t="shared" si="13"/>
        <v>0</v>
      </c>
      <c r="J15" s="54">
        <f t="shared" si="1"/>
        <v>-1443.6</v>
      </c>
      <c r="K15" s="45"/>
      <c r="L15" s="45"/>
      <c r="M15" s="45">
        <v>0</v>
      </c>
      <c r="N15" s="53">
        <v>360.9</v>
      </c>
      <c r="O15" s="53">
        <f t="shared" si="15"/>
        <v>108.27</v>
      </c>
      <c r="P15" s="47">
        <f t="shared" si="16"/>
        <v>469.16999999999996</v>
      </c>
      <c r="Q15" s="68">
        <v>0</v>
      </c>
      <c r="R15" s="54">
        <f t="shared" si="3"/>
        <v>-360.9</v>
      </c>
      <c r="S15" s="45"/>
      <c r="T15" s="45"/>
      <c r="U15" s="45"/>
      <c r="V15" s="53">
        <v>360.9</v>
      </c>
      <c r="W15" s="53">
        <f t="shared" si="17"/>
        <v>108.27</v>
      </c>
      <c r="X15" s="47">
        <f t="shared" si="18"/>
        <v>469.16999999999996</v>
      </c>
      <c r="Y15" s="68">
        <v>0</v>
      </c>
      <c r="Z15" s="54">
        <f t="shared" si="5"/>
        <v>-360.9</v>
      </c>
      <c r="AA15" s="45"/>
      <c r="AB15" s="45"/>
      <c r="AC15" s="45"/>
      <c r="AD15" s="53">
        <v>360.9</v>
      </c>
      <c r="AE15" s="53">
        <f t="shared" si="19"/>
        <v>108.27</v>
      </c>
      <c r="AF15" s="47">
        <f t="shared" si="20"/>
        <v>469.16999999999996</v>
      </c>
      <c r="AG15" s="68">
        <v>0</v>
      </c>
      <c r="AH15" s="54">
        <f t="shared" si="7"/>
        <v>-360.9</v>
      </c>
      <c r="AI15" s="45"/>
      <c r="AJ15" s="45"/>
      <c r="AK15" s="45"/>
      <c r="AL15" s="53">
        <v>360.9</v>
      </c>
      <c r="AM15" s="53">
        <f t="shared" si="21"/>
        <v>108.27</v>
      </c>
      <c r="AN15" s="47">
        <f t="shared" si="22"/>
        <v>469.16999999999996</v>
      </c>
      <c r="AO15" s="68">
        <v>0</v>
      </c>
      <c r="AP15" s="54">
        <f t="shared" si="8"/>
        <v>-360.9</v>
      </c>
    </row>
    <row r="16" spans="1:42" s="3" customFormat="1" ht="18.75" customHeight="1">
      <c r="A16" s="5">
        <v>6</v>
      </c>
      <c r="B16" s="36" t="s">
        <v>70</v>
      </c>
      <c r="C16" s="56">
        <f t="shared" si="9"/>
        <v>0</v>
      </c>
      <c r="D16" s="56">
        <f t="shared" si="10"/>
        <v>0</v>
      </c>
      <c r="E16" s="56"/>
      <c r="F16" s="56">
        <f t="shared" si="11"/>
        <v>3115</v>
      </c>
      <c r="G16" s="56">
        <f t="shared" si="12"/>
        <v>934.5</v>
      </c>
      <c r="H16" s="68">
        <f t="shared" si="14"/>
        <v>4049.5</v>
      </c>
      <c r="I16" s="56">
        <f t="shared" si="13"/>
        <v>0</v>
      </c>
      <c r="J16" s="54">
        <f t="shared" si="1"/>
        <v>-3115</v>
      </c>
      <c r="K16" s="45"/>
      <c r="L16" s="45"/>
      <c r="M16" s="45">
        <v>0</v>
      </c>
      <c r="N16" s="53">
        <v>767</v>
      </c>
      <c r="O16" s="53">
        <f t="shared" si="15"/>
        <v>230.1</v>
      </c>
      <c r="P16" s="47">
        <f t="shared" si="16"/>
        <v>997.1</v>
      </c>
      <c r="Q16" s="68">
        <v>0</v>
      </c>
      <c r="R16" s="54">
        <f t="shared" si="3"/>
        <v>-767</v>
      </c>
      <c r="S16" s="45"/>
      <c r="T16" s="45"/>
      <c r="U16" s="45"/>
      <c r="V16" s="53">
        <v>778</v>
      </c>
      <c r="W16" s="53">
        <f t="shared" si="17"/>
        <v>233.39999999999998</v>
      </c>
      <c r="X16" s="47">
        <f t="shared" si="18"/>
        <v>1011.4</v>
      </c>
      <c r="Y16" s="68">
        <v>0</v>
      </c>
      <c r="Z16" s="54">
        <f t="shared" si="5"/>
        <v>-778</v>
      </c>
      <c r="AA16" s="45"/>
      <c r="AB16" s="45"/>
      <c r="AC16" s="45"/>
      <c r="AD16" s="53">
        <v>788</v>
      </c>
      <c r="AE16" s="53">
        <f t="shared" si="19"/>
        <v>236.39999999999998</v>
      </c>
      <c r="AF16" s="47">
        <f t="shared" si="20"/>
        <v>1024.4</v>
      </c>
      <c r="AG16" s="68">
        <v>0</v>
      </c>
      <c r="AH16" s="54">
        <f t="shared" si="7"/>
        <v>-788</v>
      </c>
      <c r="AI16" s="45"/>
      <c r="AJ16" s="45"/>
      <c r="AK16" s="45"/>
      <c r="AL16" s="53">
        <v>782</v>
      </c>
      <c r="AM16" s="53">
        <f t="shared" si="21"/>
        <v>234.6</v>
      </c>
      <c r="AN16" s="47">
        <f t="shared" si="22"/>
        <v>1016.6</v>
      </c>
      <c r="AO16" s="68">
        <v>0</v>
      </c>
      <c r="AP16" s="54">
        <f t="shared" si="8"/>
        <v>-782</v>
      </c>
    </row>
    <row r="17" spans="1:42" s="3" customFormat="1" ht="18.75" customHeight="1">
      <c r="A17" s="5">
        <v>7</v>
      </c>
      <c r="B17" s="36" t="s">
        <v>71</v>
      </c>
      <c r="C17" s="56">
        <f t="shared" si="9"/>
        <v>0</v>
      </c>
      <c r="D17" s="56">
        <f t="shared" si="10"/>
        <v>0</v>
      </c>
      <c r="E17" s="56"/>
      <c r="F17" s="56">
        <f t="shared" si="11"/>
        <v>3121.8999999999996</v>
      </c>
      <c r="G17" s="56">
        <f t="shared" si="12"/>
        <v>936.5699999999999</v>
      </c>
      <c r="H17" s="68">
        <f t="shared" si="14"/>
        <v>4058.4699999999993</v>
      </c>
      <c r="I17" s="56">
        <f t="shared" si="13"/>
        <v>0</v>
      </c>
      <c r="J17" s="54">
        <f t="shared" si="1"/>
        <v>-3121.8999999999996</v>
      </c>
      <c r="K17" s="45"/>
      <c r="L17" s="45"/>
      <c r="M17" s="45">
        <v>0</v>
      </c>
      <c r="N17" s="53">
        <v>819.8</v>
      </c>
      <c r="O17" s="53">
        <f t="shared" si="15"/>
        <v>245.93999999999997</v>
      </c>
      <c r="P17" s="47">
        <f t="shared" si="16"/>
        <v>1065.74</v>
      </c>
      <c r="Q17" s="68">
        <v>0</v>
      </c>
      <c r="R17" s="54">
        <f t="shared" si="3"/>
        <v>-819.8</v>
      </c>
      <c r="S17" s="45"/>
      <c r="T17" s="45"/>
      <c r="U17" s="45"/>
      <c r="V17" s="53">
        <v>823.7</v>
      </c>
      <c r="W17" s="53">
        <f t="shared" si="17"/>
        <v>247.11</v>
      </c>
      <c r="X17" s="47">
        <f t="shared" si="18"/>
        <v>1070.81</v>
      </c>
      <c r="Y17" s="68">
        <v>0</v>
      </c>
      <c r="Z17" s="54">
        <f t="shared" si="5"/>
        <v>-823.7</v>
      </c>
      <c r="AA17" s="45"/>
      <c r="AB17" s="45"/>
      <c r="AC17" s="45"/>
      <c r="AD17" s="53">
        <v>739.2</v>
      </c>
      <c r="AE17" s="53">
        <f t="shared" si="19"/>
        <v>221.76000000000002</v>
      </c>
      <c r="AF17" s="47">
        <f t="shared" si="20"/>
        <v>960.96</v>
      </c>
      <c r="AG17" s="68">
        <v>0</v>
      </c>
      <c r="AH17" s="54">
        <f t="shared" si="7"/>
        <v>-739.2</v>
      </c>
      <c r="AI17" s="45"/>
      <c r="AJ17" s="45"/>
      <c r="AK17" s="45"/>
      <c r="AL17" s="53">
        <v>739.2</v>
      </c>
      <c r="AM17" s="53">
        <f t="shared" si="21"/>
        <v>221.76000000000002</v>
      </c>
      <c r="AN17" s="47">
        <f t="shared" si="22"/>
        <v>960.96</v>
      </c>
      <c r="AO17" s="68">
        <v>0</v>
      </c>
      <c r="AP17" s="54">
        <f t="shared" si="8"/>
        <v>-739.2</v>
      </c>
    </row>
    <row r="18" spans="1:42" s="3" customFormat="1" ht="18.75" customHeight="1">
      <c r="A18" s="5">
        <v>8</v>
      </c>
      <c r="B18" s="36" t="s">
        <v>72</v>
      </c>
      <c r="C18" s="56">
        <f t="shared" si="9"/>
        <v>0</v>
      </c>
      <c r="D18" s="56">
        <f t="shared" si="10"/>
        <v>0</v>
      </c>
      <c r="E18" s="56"/>
      <c r="F18" s="56">
        <f t="shared" si="11"/>
        <v>18421.2</v>
      </c>
      <c r="G18" s="56">
        <f t="shared" si="12"/>
        <v>5526.36</v>
      </c>
      <c r="H18" s="68">
        <f t="shared" si="14"/>
        <v>23947.56</v>
      </c>
      <c r="I18" s="56">
        <f t="shared" si="13"/>
        <v>0</v>
      </c>
      <c r="J18" s="54">
        <f t="shared" si="1"/>
        <v>-18421.2</v>
      </c>
      <c r="K18" s="45"/>
      <c r="L18" s="45"/>
      <c r="M18" s="45">
        <v>0</v>
      </c>
      <c r="N18" s="53">
        <v>4605.3</v>
      </c>
      <c r="O18" s="53">
        <f t="shared" si="15"/>
        <v>1381.59</v>
      </c>
      <c r="P18" s="47">
        <f t="shared" si="16"/>
        <v>5986.89</v>
      </c>
      <c r="Q18" s="68">
        <v>0</v>
      </c>
      <c r="R18" s="54">
        <f t="shared" si="3"/>
        <v>-4605.3</v>
      </c>
      <c r="S18" s="45"/>
      <c r="T18" s="45"/>
      <c r="U18" s="45"/>
      <c r="V18" s="53">
        <v>4605.3</v>
      </c>
      <c r="W18" s="53">
        <f t="shared" si="17"/>
        <v>1381.59</v>
      </c>
      <c r="X18" s="47">
        <f t="shared" si="18"/>
        <v>5986.89</v>
      </c>
      <c r="Y18" s="68">
        <v>0</v>
      </c>
      <c r="Z18" s="54">
        <f t="shared" si="5"/>
        <v>-4605.3</v>
      </c>
      <c r="AA18" s="45"/>
      <c r="AB18" s="45"/>
      <c r="AC18" s="45"/>
      <c r="AD18" s="53">
        <v>4605.3</v>
      </c>
      <c r="AE18" s="53">
        <f t="shared" si="19"/>
        <v>1381.59</v>
      </c>
      <c r="AF18" s="47">
        <f t="shared" si="20"/>
        <v>5986.89</v>
      </c>
      <c r="AG18" s="68">
        <v>0</v>
      </c>
      <c r="AH18" s="54">
        <f t="shared" si="7"/>
        <v>-4605.3</v>
      </c>
      <c r="AI18" s="45"/>
      <c r="AJ18" s="45"/>
      <c r="AK18" s="45"/>
      <c r="AL18" s="53">
        <v>4605.3</v>
      </c>
      <c r="AM18" s="53">
        <f t="shared" si="21"/>
        <v>1381.59</v>
      </c>
      <c r="AN18" s="47">
        <f t="shared" si="22"/>
        <v>5986.89</v>
      </c>
      <c r="AO18" s="68">
        <v>0</v>
      </c>
      <c r="AP18" s="54">
        <f t="shared" si="8"/>
        <v>-4605.3</v>
      </c>
    </row>
    <row r="19" spans="1:42" s="3" customFormat="1" ht="18.75" customHeight="1">
      <c r="A19" s="5">
        <v>9</v>
      </c>
      <c r="B19" s="36" t="s">
        <v>73</v>
      </c>
      <c r="C19" s="56">
        <f t="shared" si="9"/>
        <v>0</v>
      </c>
      <c r="D19" s="56">
        <f t="shared" si="10"/>
        <v>0</v>
      </c>
      <c r="E19" s="56"/>
      <c r="F19" s="56">
        <f t="shared" si="11"/>
        <v>559.6</v>
      </c>
      <c r="G19" s="56">
        <f t="shared" si="12"/>
        <v>167.88</v>
      </c>
      <c r="H19" s="68">
        <f t="shared" si="14"/>
        <v>727.48</v>
      </c>
      <c r="I19" s="56">
        <f t="shared" si="13"/>
        <v>0</v>
      </c>
      <c r="J19" s="54">
        <f t="shared" si="1"/>
        <v>-559.6</v>
      </c>
      <c r="K19" s="45"/>
      <c r="L19" s="45"/>
      <c r="M19" s="45">
        <v>0</v>
      </c>
      <c r="N19" s="53">
        <v>139.9</v>
      </c>
      <c r="O19" s="53">
        <f t="shared" si="15"/>
        <v>41.97</v>
      </c>
      <c r="P19" s="47">
        <f t="shared" si="16"/>
        <v>181.87</v>
      </c>
      <c r="Q19" s="68">
        <v>0</v>
      </c>
      <c r="R19" s="54">
        <f t="shared" si="3"/>
        <v>-139.9</v>
      </c>
      <c r="S19" s="45"/>
      <c r="T19" s="45"/>
      <c r="U19" s="45"/>
      <c r="V19" s="53">
        <v>139.9</v>
      </c>
      <c r="W19" s="53">
        <f t="shared" si="17"/>
        <v>41.97</v>
      </c>
      <c r="X19" s="47">
        <f t="shared" si="18"/>
        <v>181.87</v>
      </c>
      <c r="Y19" s="68">
        <v>0</v>
      </c>
      <c r="Z19" s="54">
        <f t="shared" si="5"/>
        <v>-139.9</v>
      </c>
      <c r="AA19" s="45"/>
      <c r="AB19" s="45"/>
      <c r="AC19" s="45"/>
      <c r="AD19" s="53">
        <v>139.9</v>
      </c>
      <c r="AE19" s="53">
        <f t="shared" si="19"/>
        <v>41.97</v>
      </c>
      <c r="AF19" s="47">
        <f t="shared" si="20"/>
        <v>181.87</v>
      </c>
      <c r="AG19" s="68">
        <v>0</v>
      </c>
      <c r="AH19" s="54">
        <f t="shared" si="7"/>
        <v>-139.9</v>
      </c>
      <c r="AI19" s="45"/>
      <c r="AJ19" s="45"/>
      <c r="AK19" s="45"/>
      <c r="AL19" s="53">
        <v>139.9</v>
      </c>
      <c r="AM19" s="53">
        <f t="shared" si="21"/>
        <v>41.97</v>
      </c>
      <c r="AN19" s="47">
        <f t="shared" si="22"/>
        <v>181.87</v>
      </c>
      <c r="AO19" s="68">
        <v>0</v>
      </c>
      <c r="AP19" s="54">
        <f t="shared" si="8"/>
        <v>-139.9</v>
      </c>
    </row>
    <row r="20" spans="1:42" s="13" customFormat="1" ht="41.25" customHeight="1">
      <c r="A20" s="42" t="s">
        <v>76</v>
      </c>
      <c r="B20" s="37" t="s">
        <v>63</v>
      </c>
      <c r="C20" s="49">
        <f>SUM(C21:C31)</f>
        <v>109.2</v>
      </c>
      <c r="D20" s="49">
        <f>SUM(D21:D31)</f>
        <v>64.94999999999999</v>
      </c>
      <c r="E20" s="49">
        <f>D20/C20*100</f>
        <v>59.478021978021964</v>
      </c>
      <c r="F20" s="64">
        <f aca="true" t="shared" si="23" ref="F20:F52">N20+V20+AD20+AL20</f>
        <v>477947.10777908104</v>
      </c>
      <c r="G20" s="64">
        <f>F20*0.3</f>
        <v>143384.1323337243</v>
      </c>
      <c r="H20" s="64">
        <f>SUM(F20:G20)</f>
        <v>621331.2401128053</v>
      </c>
      <c r="I20" s="49">
        <f>SUM(I21:I31)</f>
        <v>0</v>
      </c>
      <c r="J20" s="54">
        <f t="shared" si="1"/>
        <v>-477947.10777908104</v>
      </c>
      <c r="K20" s="49">
        <f>SUM(K21:K31)</f>
        <v>26</v>
      </c>
      <c r="L20" s="49">
        <f>SUM(L21:L31)</f>
        <v>15.2</v>
      </c>
      <c r="M20" s="49">
        <f>L20/K20*100</f>
        <v>58.46153846153845</v>
      </c>
      <c r="N20" s="64">
        <f>169171.816-37867.9</f>
        <v>131303.916</v>
      </c>
      <c r="O20" s="64">
        <f>N20*0.3</f>
        <v>39391.1748</v>
      </c>
      <c r="P20" s="64">
        <f>SUM(N20:O20)</f>
        <v>170695.0908</v>
      </c>
      <c r="Q20" s="49">
        <f>SUM(Q21:Q31)</f>
        <v>0</v>
      </c>
      <c r="R20" s="54">
        <f t="shared" si="3"/>
        <v>-131303.916</v>
      </c>
      <c r="S20" s="49">
        <f>SUM(S21:S31)</f>
        <v>26</v>
      </c>
      <c r="T20" s="49">
        <f>SUM(T21:T31)</f>
        <v>18</v>
      </c>
      <c r="U20" s="49">
        <f>T20/S20*100</f>
        <v>69.23076923076923</v>
      </c>
      <c r="V20" s="64">
        <f>154527.664516129-36910.7</f>
        <v>117616.96451612901</v>
      </c>
      <c r="W20" s="64">
        <f>V20*0.3</f>
        <v>35285.0893548387</v>
      </c>
      <c r="X20" s="64">
        <f>SUM(V20:W20)</f>
        <v>152902.0538709677</v>
      </c>
      <c r="Y20" s="49">
        <f>SUM(Y21:Y31)</f>
        <v>0</v>
      </c>
      <c r="Z20" s="54">
        <f t="shared" si="5"/>
        <v>-117616.96451612901</v>
      </c>
      <c r="AA20" s="49">
        <f>SUM(AA21:AA31)</f>
        <v>32.2</v>
      </c>
      <c r="AB20" s="49">
        <f>SUM(AB21:AB31)</f>
        <v>18.7</v>
      </c>
      <c r="AC20" s="49">
        <f>AB20/AA20*100</f>
        <v>58.074534161490675</v>
      </c>
      <c r="AD20" s="64">
        <f>160348.106666667-40887.6</f>
        <v>119460.506666667</v>
      </c>
      <c r="AE20" s="64">
        <f>AD20*0.3</f>
        <v>35838.1520000001</v>
      </c>
      <c r="AF20" s="64">
        <f>SUM(AD20:AE20)</f>
        <v>155298.6586666671</v>
      </c>
      <c r="AG20" s="49">
        <f>SUM(AG21:AG31)</f>
        <v>0</v>
      </c>
      <c r="AH20" s="54">
        <f t="shared" si="7"/>
        <v>-119460.506666667</v>
      </c>
      <c r="AI20" s="49">
        <f>SUM(AI21:AI31)</f>
        <v>25</v>
      </c>
      <c r="AJ20" s="49">
        <f>SUM(AJ21:AJ31)</f>
        <v>13.049999999999999</v>
      </c>
      <c r="AK20" s="49">
        <f>AJ20/AI20*100</f>
        <v>52.19999999999999</v>
      </c>
      <c r="AL20" s="64">
        <f>147446.720596285-37881</f>
        <v>109565.72059628501</v>
      </c>
      <c r="AM20" s="64">
        <f>AL20*0.3</f>
        <v>32869.7161788855</v>
      </c>
      <c r="AN20" s="64">
        <f>SUM(AL20:AM20)</f>
        <v>142435.4367751705</v>
      </c>
      <c r="AO20" s="49">
        <f>SUM(AO21:AO31)</f>
        <v>0</v>
      </c>
      <c r="AP20" s="54">
        <f t="shared" si="8"/>
        <v>-109565.72059628501</v>
      </c>
    </row>
    <row r="21" spans="1:42" s="3" customFormat="1" ht="18.75" customHeight="1">
      <c r="A21" s="5">
        <v>1</v>
      </c>
      <c r="B21" s="61" t="s">
        <v>80</v>
      </c>
      <c r="C21" s="55">
        <f aca="true" t="shared" si="24" ref="C21:C31">K21+S21+AA21+AI21</f>
        <v>22.7</v>
      </c>
      <c r="D21" s="55">
        <f aca="true" t="shared" si="25" ref="D21:D31">L21+T21+AB21+AJ21</f>
        <v>22.7</v>
      </c>
      <c r="E21" s="52">
        <f>D21/C21*100</f>
        <v>100</v>
      </c>
      <c r="F21" s="65">
        <f t="shared" si="23"/>
        <v>62880</v>
      </c>
      <c r="G21" s="65">
        <f aca="true" t="shared" si="26" ref="G21:G31">O21+W21+AE21+AM21</f>
        <v>18864</v>
      </c>
      <c r="H21" s="66">
        <f>SUM(F21:G21)</f>
        <v>81744</v>
      </c>
      <c r="I21" s="55">
        <f aca="true" t="shared" si="27" ref="I21:I48">Q21+Y21+AG21+AO21</f>
        <v>0</v>
      </c>
      <c r="J21" s="54">
        <f t="shared" si="1"/>
        <v>-62880</v>
      </c>
      <c r="K21" s="59">
        <v>8</v>
      </c>
      <c r="L21" s="52">
        <v>7</v>
      </c>
      <c r="M21" s="52">
        <f>L21/K21*100</f>
        <v>87.5</v>
      </c>
      <c r="N21" s="52">
        <v>16950</v>
      </c>
      <c r="O21" s="52">
        <f>N21*0.3</f>
        <v>5085</v>
      </c>
      <c r="P21" s="60">
        <f>SUM(N21:O21)</f>
        <v>22035</v>
      </c>
      <c r="Q21" s="68">
        <v>0</v>
      </c>
      <c r="R21" s="54">
        <f t="shared" si="3"/>
        <v>-16950</v>
      </c>
      <c r="S21" s="59">
        <v>8</v>
      </c>
      <c r="T21" s="52">
        <v>7</v>
      </c>
      <c r="U21" s="52">
        <f>T21/S21*100</f>
        <v>87.5</v>
      </c>
      <c r="V21" s="52">
        <v>15500</v>
      </c>
      <c r="W21" s="52">
        <f aca="true" t="shared" si="28" ref="W21:W37">V21*0.3</f>
        <v>4650</v>
      </c>
      <c r="X21" s="47">
        <f>SUM(V21:W21)</f>
        <v>20150</v>
      </c>
      <c r="Y21" s="68">
        <v>0</v>
      </c>
      <c r="Z21" s="54">
        <f t="shared" si="5"/>
        <v>-15500</v>
      </c>
      <c r="AA21" s="45">
        <v>6.7</v>
      </c>
      <c r="AB21" s="45">
        <v>7</v>
      </c>
      <c r="AC21" s="45">
        <v>104.4776119402985</v>
      </c>
      <c r="AD21" s="45">
        <v>15800</v>
      </c>
      <c r="AE21" s="45">
        <f>AD21*0.3</f>
        <v>4740</v>
      </c>
      <c r="AF21" s="47">
        <f>SUM(AD21:AE21)</f>
        <v>20540</v>
      </c>
      <c r="AG21" s="68">
        <v>0</v>
      </c>
      <c r="AH21" s="54">
        <f t="shared" si="7"/>
        <v>-15800</v>
      </c>
      <c r="AI21" s="45">
        <v>0</v>
      </c>
      <c r="AJ21" s="45">
        <v>1.7</v>
      </c>
      <c r="AK21" s="45">
        <v>0</v>
      </c>
      <c r="AL21" s="45">
        <v>14630</v>
      </c>
      <c r="AM21" s="45">
        <f>AL21*0.3</f>
        <v>4389</v>
      </c>
      <c r="AN21" s="47">
        <f>SUM(AL21:AM21)</f>
        <v>19019</v>
      </c>
      <c r="AO21" s="68">
        <v>0</v>
      </c>
      <c r="AP21" s="54">
        <f t="shared" si="8"/>
        <v>-14630</v>
      </c>
    </row>
    <row r="22" spans="1:42" s="3" customFormat="1" ht="18.75" customHeight="1">
      <c r="A22" s="5">
        <v>2</v>
      </c>
      <c r="B22" s="61" t="s">
        <v>81</v>
      </c>
      <c r="C22" s="55">
        <f t="shared" si="24"/>
        <v>54.5</v>
      </c>
      <c r="D22" s="55">
        <f t="shared" si="25"/>
        <v>28.15</v>
      </c>
      <c r="E22" s="52">
        <f>D22/C22*100</f>
        <v>51.651376146788984</v>
      </c>
      <c r="F22" s="65">
        <f t="shared" si="23"/>
        <v>119549</v>
      </c>
      <c r="G22" s="65">
        <f t="shared" si="26"/>
        <v>35864.7</v>
      </c>
      <c r="H22" s="66">
        <f aca="true" t="shared" si="29" ref="H22:H48">SUM(F22:G22)</f>
        <v>155413.7</v>
      </c>
      <c r="I22" s="55">
        <f t="shared" si="27"/>
        <v>0</v>
      </c>
      <c r="J22" s="54">
        <f t="shared" si="1"/>
        <v>-119549</v>
      </c>
      <c r="K22" s="59">
        <v>10</v>
      </c>
      <c r="L22" s="52">
        <v>6.1</v>
      </c>
      <c r="M22" s="52">
        <f>L22/K22*100</f>
        <v>61</v>
      </c>
      <c r="N22" s="52">
        <v>32478</v>
      </c>
      <c r="O22" s="52">
        <f aca="true" t="shared" si="30" ref="O22:O37">N22*0.3</f>
        <v>9743.4</v>
      </c>
      <c r="P22" s="60">
        <f aca="true" t="shared" si="31" ref="P22:P30">SUM(N22:O22)</f>
        <v>42221.4</v>
      </c>
      <c r="Q22" s="68">
        <v>0</v>
      </c>
      <c r="R22" s="54">
        <f t="shared" si="3"/>
        <v>-32478</v>
      </c>
      <c r="S22" s="59">
        <v>10</v>
      </c>
      <c r="T22" s="52">
        <v>7</v>
      </c>
      <c r="U22" s="52">
        <f>T22/S22*100</f>
        <v>70</v>
      </c>
      <c r="V22" s="52">
        <v>27751</v>
      </c>
      <c r="W22" s="52">
        <f t="shared" si="28"/>
        <v>8325.3</v>
      </c>
      <c r="X22" s="47">
        <f aca="true" t="shared" si="32" ref="X22:X48">SUM(V22:W22)</f>
        <v>36076.3</v>
      </c>
      <c r="Y22" s="68">
        <v>0</v>
      </c>
      <c r="Z22" s="54">
        <f t="shared" si="5"/>
        <v>-27751</v>
      </c>
      <c r="AA22" s="45">
        <v>17.5</v>
      </c>
      <c r="AB22" s="45">
        <v>7.7</v>
      </c>
      <c r="AC22" s="45">
        <v>44</v>
      </c>
      <c r="AD22" s="45">
        <v>31017</v>
      </c>
      <c r="AE22" s="45">
        <f aca="true" t="shared" si="33" ref="AE22:AE37">AD22*0.3</f>
        <v>9305.1</v>
      </c>
      <c r="AF22" s="47">
        <f aca="true" t="shared" si="34" ref="AF22:AF48">SUM(AD22:AE22)</f>
        <v>40322.1</v>
      </c>
      <c r="AG22" s="68">
        <v>0</v>
      </c>
      <c r="AH22" s="54">
        <f t="shared" si="7"/>
        <v>-31017</v>
      </c>
      <c r="AI22" s="45">
        <v>17</v>
      </c>
      <c r="AJ22" s="45">
        <v>7.35</v>
      </c>
      <c r="AK22" s="45">
        <v>43.23529411764706</v>
      </c>
      <c r="AL22" s="45">
        <v>28303</v>
      </c>
      <c r="AM22" s="45">
        <f aca="true" t="shared" si="35" ref="AM22:AM37">AL22*0.3</f>
        <v>8490.9</v>
      </c>
      <c r="AN22" s="47">
        <f aca="true" t="shared" si="36" ref="AN22:AN48">SUM(AL22:AM22)</f>
        <v>36793.9</v>
      </c>
      <c r="AO22" s="68">
        <v>0</v>
      </c>
      <c r="AP22" s="54">
        <f t="shared" si="8"/>
        <v>-28303</v>
      </c>
    </row>
    <row r="23" spans="1:42" s="3" customFormat="1" ht="18.75" customHeight="1">
      <c r="A23" s="5">
        <v>3</v>
      </c>
      <c r="B23" s="61" t="s">
        <v>82</v>
      </c>
      <c r="C23" s="55">
        <f t="shared" si="24"/>
        <v>0</v>
      </c>
      <c r="D23" s="55">
        <f t="shared" si="25"/>
        <v>0</v>
      </c>
      <c r="E23" s="52"/>
      <c r="F23" s="65">
        <f t="shared" si="23"/>
        <v>80432.38</v>
      </c>
      <c r="G23" s="65">
        <f t="shared" si="26"/>
        <v>24129.713999999996</v>
      </c>
      <c r="H23" s="66">
        <f t="shared" si="29"/>
        <v>104562.094</v>
      </c>
      <c r="I23" s="55">
        <f t="shared" si="27"/>
        <v>0</v>
      </c>
      <c r="J23" s="54">
        <f t="shared" si="1"/>
        <v>-80432.38</v>
      </c>
      <c r="K23" s="59">
        <v>0</v>
      </c>
      <c r="L23" s="52">
        <v>0</v>
      </c>
      <c r="M23" s="52">
        <v>0</v>
      </c>
      <c r="N23" s="52">
        <v>21096.8</v>
      </c>
      <c r="O23" s="52">
        <f t="shared" si="30"/>
        <v>6329.04</v>
      </c>
      <c r="P23" s="60">
        <f t="shared" si="31"/>
        <v>27425.84</v>
      </c>
      <c r="Q23" s="68">
        <v>0</v>
      </c>
      <c r="R23" s="54">
        <f t="shared" si="3"/>
        <v>-21096.8</v>
      </c>
      <c r="S23" s="59">
        <v>0</v>
      </c>
      <c r="T23" s="52">
        <v>0</v>
      </c>
      <c r="U23" s="52">
        <v>0</v>
      </c>
      <c r="V23" s="52">
        <v>20365.8</v>
      </c>
      <c r="W23" s="52">
        <f t="shared" si="28"/>
        <v>6109.74</v>
      </c>
      <c r="X23" s="47">
        <f t="shared" si="32"/>
        <v>26475.54</v>
      </c>
      <c r="Y23" s="68">
        <v>0</v>
      </c>
      <c r="Z23" s="54">
        <f t="shared" si="5"/>
        <v>-20365.8</v>
      </c>
      <c r="AA23" s="45">
        <v>0</v>
      </c>
      <c r="AB23" s="45">
        <v>0</v>
      </c>
      <c r="AC23" s="45">
        <v>0</v>
      </c>
      <c r="AD23" s="45">
        <v>20669.04</v>
      </c>
      <c r="AE23" s="45">
        <f t="shared" si="33"/>
        <v>6200.712</v>
      </c>
      <c r="AF23" s="47">
        <f t="shared" si="34"/>
        <v>26869.752</v>
      </c>
      <c r="AG23" s="68">
        <v>0</v>
      </c>
      <c r="AH23" s="54">
        <f t="shared" si="7"/>
        <v>-20669.04</v>
      </c>
      <c r="AI23" s="45">
        <v>0</v>
      </c>
      <c r="AJ23" s="45">
        <v>0</v>
      </c>
      <c r="AK23" s="45">
        <v>0</v>
      </c>
      <c r="AL23" s="45">
        <v>18300.739999999998</v>
      </c>
      <c r="AM23" s="45">
        <f t="shared" si="35"/>
        <v>5490.221999999999</v>
      </c>
      <c r="AN23" s="47">
        <f t="shared" si="36"/>
        <v>23790.961999999996</v>
      </c>
      <c r="AO23" s="68">
        <v>0</v>
      </c>
      <c r="AP23" s="54">
        <f t="shared" si="8"/>
        <v>-18300.739999999998</v>
      </c>
    </row>
    <row r="24" spans="1:42" s="3" customFormat="1" ht="18.75" customHeight="1">
      <c r="A24" s="5">
        <v>4</v>
      </c>
      <c r="B24" s="61" t="s">
        <v>83</v>
      </c>
      <c r="C24" s="55">
        <f t="shared" si="24"/>
        <v>32</v>
      </c>
      <c r="D24" s="55">
        <f t="shared" si="25"/>
        <v>14.1</v>
      </c>
      <c r="E24" s="52">
        <f>D24/C24*100</f>
        <v>44.0625</v>
      </c>
      <c r="F24" s="65">
        <f t="shared" si="23"/>
        <v>106366.50000000001</v>
      </c>
      <c r="G24" s="65">
        <f t="shared" si="26"/>
        <v>31909.95</v>
      </c>
      <c r="H24" s="66">
        <f t="shared" si="29"/>
        <v>138276.45</v>
      </c>
      <c r="I24" s="55">
        <f t="shared" si="27"/>
        <v>0</v>
      </c>
      <c r="J24" s="54">
        <f t="shared" si="1"/>
        <v>-106366.50000000001</v>
      </c>
      <c r="K24" s="59">
        <v>8</v>
      </c>
      <c r="L24" s="52">
        <v>2.1</v>
      </c>
      <c r="M24" s="52">
        <f>L24/K24*100</f>
        <v>26.25</v>
      </c>
      <c r="N24" s="52">
        <v>27136</v>
      </c>
      <c r="O24" s="52">
        <f t="shared" si="30"/>
        <v>8140.799999999999</v>
      </c>
      <c r="P24" s="60">
        <f t="shared" si="31"/>
        <v>35276.8</v>
      </c>
      <c r="Q24" s="68">
        <v>0</v>
      </c>
      <c r="R24" s="54">
        <f t="shared" si="3"/>
        <v>-27136</v>
      </c>
      <c r="S24" s="59">
        <v>8</v>
      </c>
      <c r="T24" s="52">
        <v>4</v>
      </c>
      <c r="U24" s="52">
        <f>T24/S24*100</f>
        <v>50</v>
      </c>
      <c r="V24" s="52">
        <v>25983.800000000003</v>
      </c>
      <c r="W24" s="52">
        <f t="shared" si="28"/>
        <v>7795.14</v>
      </c>
      <c r="X24" s="47">
        <f t="shared" si="32"/>
        <v>33778.94</v>
      </c>
      <c r="Y24" s="68">
        <v>0</v>
      </c>
      <c r="Z24" s="54">
        <f t="shared" si="5"/>
        <v>-25983.800000000003</v>
      </c>
      <c r="AA24" s="45">
        <v>8</v>
      </c>
      <c r="AB24" s="45">
        <v>4</v>
      </c>
      <c r="AC24" s="45">
        <v>50</v>
      </c>
      <c r="AD24" s="45">
        <v>27015.100000000002</v>
      </c>
      <c r="AE24" s="45">
        <f t="shared" si="33"/>
        <v>8104.530000000001</v>
      </c>
      <c r="AF24" s="47">
        <f t="shared" si="34"/>
        <v>35119.630000000005</v>
      </c>
      <c r="AG24" s="68">
        <v>0</v>
      </c>
      <c r="AH24" s="54">
        <f t="shared" si="7"/>
        <v>-27015.100000000002</v>
      </c>
      <c r="AI24" s="45">
        <v>8</v>
      </c>
      <c r="AJ24" s="45">
        <v>4</v>
      </c>
      <c r="AK24" s="45">
        <v>50</v>
      </c>
      <c r="AL24" s="45">
        <v>26231.600000000002</v>
      </c>
      <c r="AM24" s="45">
        <f t="shared" si="35"/>
        <v>7869.4800000000005</v>
      </c>
      <c r="AN24" s="47">
        <f t="shared" si="36"/>
        <v>34101.08</v>
      </c>
      <c r="AO24" s="68">
        <v>0</v>
      </c>
      <c r="AP24" s="54">
        <f t="shared" si="8"/>
        <v>-26231.600000000002</v>
      </c>
    </row>
    <row r="25" spans="1:42" s="3" customFormat="1" ht="18.75" customHeight="1">
      <c r="A25" s="5">
        <v>5</v>
      </c>
      <c r="B25" s="61" t="s">
        <v>84</v>
      </c>
      <c r="C25" s="55">
        <f t="shared" si="24"/>
        <v>0</v>
      </c>
      <c r="D25" s="55">
        <f t="shared" si="25"/>
        <v>0</v>
      </c>
      <c r="E25" s="52"/>
      <c r="F25" s="65">
        <f t="shared" si="23"/>
        <v>71069.2</v>
      </c>
      <c r="G25" s="65">
        <f t="shared" si="26"/>
        <v>21320.760000000002</v>
      </c>
      <c r="H25" s="66">
        <f t="shared" si="29"/>
        <v>92389.95999999999</v>
      </c>
      <c r="I25" s="55">
        <f t="shared" si="27"/>
        <v>0</v>
      </c>
      <c r="J25" s="54">
        <f t="shared" si="1"/>
        <v>-71069.2</v>
      </c>
      <c r="K25" s="59">
        <v>0</v>
      </c>
      <c r="L25" s="52">
        <v>0</v>
      </c>
      <c r="M25" s="52">
        <v>0</v>
      </c>
      <c r="N25" s="52">
        <v>22153.2</v>
      </c>
      <c r="O25" s="52">
        <f t="shared" si="30"/>
        <v>6645.96</v>
      </c>
      <c r="P25" s="60">
        <f t="shared" si="31"/>
        <v>28799.16</v>
      </c>
      <c r="Q25" s="68">
        <v>0</v>
      </c>
      <c r="R25" s="54">
        <f t="shared" si="3"/>
        <v>-22153.2</v>
      </c>
      <c r="S25" s="59">
        <v>0</v>
      </c>
      <c r="T25" s="52">
        <v>0</v>
      </c>
      <c r="U25" s="52">
        <v>0</v>
      </c>
      <c r="V25" s="52">
        <v>18325.5</v>
      </c>
      <c r="W25" s="52">
        <f t="shared" si="28"/>
        <v>5497.65</v>
      </c>
      <c r="X25" s="47">
        <f t="shared" si="32"/>
        <v>23823.15</v>
      </c>
      <c r="Y25" s="68">
        <v>0</v>
      </c>
      <c r="Z25" s="54">
        <f t="shared" si="5"/>
        <v>-18325.5</v>
      </c>
      <c r="AA25" s="45">
        <v>0</v>
      </c>
      <c r="AB25" s="45">
        <v>0</v>
      </c>
      <c r="AC25" s="45">
        <v>0</v>
      </c>
      <c r="AD25" s="45">
        <v>16908.4</v>
      </c>
      <c r="AE25" s="45">
        <f t="shared" si="33"/>
        <v>5072.52</v>
      </c>
      <c r="AF25" s="47">
        <f t="shared" si="34"/>
        <v>21980.920000000002</v>
      </c>
      <c r="AG25" s="68">
        <v>0</v>
      </c>
      <c r="AH25" s="54">
        <f t="shared" si="7"/>
        <v>-16908.4</v>
      </c>
      <c r="AI25" s="45">
        <v>0</v>
      </c>
      <c r="AJ25" s="45">
        <v>0</v>
      </c>
      <c r="AK25" s="45">
        <v>0</v>
      </c>
      <c r="AL25" s="45">
        <v>13682.100000000002</v>
      </c>
      <c r="AM25" s="45">
        <f t="shared" si="35"/>
        <v>4104.63</v>
      </c>
      <c r="AN25" s="47">
        <f t="shared" si="36"/>
        <v>17786.730000000003</v>
      </c>
      <c r="AO25" s="68">
        <v>0</v>
      </c>
      <c r="AP25" s="54">
        <f t="shared" si="8"/>
        <v>-13682.100000000002</v>
      </c>
    </row>
    <row r="26" spans="1:42" s="3" customFormat="1" ht="18.75" customHeight="1">
      <c r="A26" s="5">
        <v>6</v>
      </c>
      <c r="B26" s="61" t="s">
        <v>85</v>
      </c>
      <c r="C26" s="55">
        <f t="shared" si="24"/>
        <v>0</v>
      </c>
      <c r="D26" s="55">
        <f t="shared" si="25"/>
        <v>0</v>
      </c>
      <c r="E26" s="52"/>
      <c r="F26" s="65">
        <f t="shared" si="23"/>
        <v>45863.90000000001</v>
      </c>
      <c r="G26" s="65">
        <f t="shared" si="26"/>
        <v>13759.17</v>
      </c>
      <c r="H26" s="66">
        <f t="shared" si="29"/>
        <v>59623.07000000001</v>
      </c>
      <c r="I26" s="55">
        <f t="shared" si="27"/>
        <v>0</v>
      </c>
      <c r="J26" s="54">
        <f t="shared" si="1"/>
        <v>-45863.90000000001</v>
      </c>
      <c r="K26" s="59">
        <v>0</v>
      </c>
      <c r="L26" s="52">
        <v>0</v>
      </c>
      <c r="M26" s="52">
        <v>0</v>
      </c>
      <c r="N26" s="52">
        <v>11578</v>
      </c>
      <c r="O26" s="52">
        <f t="shared" si="30"/>
        <v>3473.4</v>
      </c>
      <c r="P26" s="60">
        <f t="shared" si="31"/>
        <v>15051.4</v>
      </c>
      <c r="Q26" s="68">
        <v>0</v>
      </c>
      <c r="R26" s="54">
        <f t="shared" si="3"/>
        <v>-11578</v>
      </c>
      <c r="S26" s="59">
        <v>0</v>
      </c>
      <c r="T26" s="52">
        <v>0</v>
      </c>
      <c r="U26" s="52">
        <v>0</v>
      </c>
      <c r="V26" s="52">
        <v>11320.900000000001</v>
      </c>
      <c r="W26" s="52">
        <f t="shared" si="28"/>
        <v>3396.2700000000004</v>
      </c>
      <c r="X26" s="47">
        <f t="shared" si="32"/>
        <v>14717.170000000002</v>
      </c>
      <c r="Y26" s="68">
        <v>0</v>
      </c>
      <c r="Z26" s="54">
        <f t="shared" si="5"/>
        <v>-11320.900000000001</v>
      </c>
      <c r="AA26" s="45">
        <v>0</v>
      </c>
      <c r="AB26" s="45">
        <v>0</v>
      </c>
      <c r="AC26" s="45">
        <v>0</v>
      </c>
      <c r="AD26" s="45">
        <v>11552.2</v>
      </c>
      <c r="AE26" s="45">
        <f t="shared" si="33"/>
        <v>3465.6600000000003</v>
      </c>
      <c r="AF26" s="47">
        <f t="shared" si="34"/>
        <v>15017.86</v>
      </c>
      <c r="AG26" s="68">
        <v>0</v>
      </c>
      <c r="AH26" s="54">
        <f t="shared" si="7"/>
        <v>-11552.2</v>
      </c>
      <c r="AI26" s="45">
        <v>0</v>
      </c>
      <c r="AJ26" s="45">
        <v>0</v>
      </c>
      <c r="AK26" s="45">
        <v>0</v>
      </c>
      <c r="AL26" s="45">
        <v>11412.8</v>
      </c>
      <c r="AM26" s="45">
        <f t="shared" si="35"/>
        <v>3423.8399999999997</v>
      </c>
      <c r="AN26" s="47">
        <f t="shared" si="36"/>
        <v>14836.64</v>
      </c>
      <c r="AO26" s="68">
        <v>0</v>
      </c>
      <c r="AP26" s="54">
        <f t="shared" si="8"/>
        <v>-11412.8</v>
      </c>
    </row>
    <row r="27" spans="1:42" s="3" customFormat="1" ht="18.75" customHeight="1">
      <c r="A27" s="5">
        <v>7</v>
      </c>
      <c r="B27" s="61" t="s">
        <v>86</v>
      </c>
      <c r="C27" s="55">
        <f t="shared" si="24"/>
        <v>0</v>
      </c>
      <c r="D27" s="55">
        <f t="shared" si="25"/>
        <v>0</v>
      </c>
      <c r="E27" s="52"/>
      <c r="F27" s="65">
        <f t="shared" si="23"/>
        <v>26428.127779081133</v>
      </c>
      <c r="G27" s="65">
        <f t="shared" si="26"/>
        <v>7928.43833372434</v>
      </c>
      <c r="H27" s="66">
        <f t="shared" si="29"/>
        <v>34356.56611280547</v>
      </c>
      <c r="I27" s="55">
        <f t="shared" si="27"/>
        <v>0</v>
      </c>
      <c r="J27" s="54">
        <f t="shared" si="1"/>
        <v>-26428.127779081133</v>
      </c>
      <c r="K27" s="59">
        <v>0</v>
      </c>
      <c r="L27" s="52">
        <v>0</v>
      </c>
      <c r="M27" s="52">
        <v>0</v>
      </c>
      <c r="N27" s="52">
        <v>6874.916</v>
      </c>
      <c r="O27" s="52">
        <f t="shared" si="30"/>
        <v>2062.4748</v>
      </c>
      <c r="P27" s="60">
        <f t="shared" si="31"/>
        <v>8937.390800000001</v>
      </c>
      <c r="Q27" s="68">
        <v>0</v>
      </c>
      <c r="R27" s="54">
        <f t="shared" si="3"/>
        <v>-6874.916</v>
      </c>
      <c r="S27" s="59">
        <v>0</v>
      </c>
      <c r="T27" s="52">
        <v>0</v>
      </c>
      <c r="U27" s="52">
        <v>0</v>
      </c>
      <c r="V27" s="52">
        <v>6331.464516129032</v>
      </c>
      <c r="W27" s="52">
        <f t="shared" si="28"/>
        <v>1899.4393548387095</v>
      </c>
      <c r="X27" s="47">
        <f t="shared" si="32"/>
        <v>8230.90387096774</v>
      </c>
      <c r="Y27" s="68">
        <v>0</v>
      </c>
      <c r="Z27" s="54">
        <f t="shared" si="5"/>
        <v>-6331.464516129032</v>
      </c>
      <c r="AA27" s="45">
        <v>0</v>
      </c>
      <c r="AB27" s="45">
        <v>0</v>
      </c>
      <c r="AC27" s="45">
        <v>0</v>
      </c>
      <c r="AD27" s="45">
        <v>7143.366666666667</v>
      </c>
      <c r="AE27" s="45">
        <f t="shared" si="33"/>
        <v>2143.0099999999998</v>
      </c>
      <c r="AF27" s="47">
        <f t="shared" si="34"/>
        <v>9286.376666666667</v>
      </c>
      <c r="AG27" s="68">
        <v>0</v>
      </c>
      <c r="AH27" s="54">
        <f t="shared" si="7"/>
        <v>-7143.366666666667</v>
      </c>
      <c r="AI27" s="45">
        <v>0</v>
      </c>
      <c r="AJ27" s="45">
        <v>0</v>
      </c>
      <c r="AK27" s="45">
        <v>0</v>
      </c>
      <c r="AL27" s="45">
        <v>6078.380596285435</v>
      </c>
      <c r="AM27" s="45">
        <f t="shared" si="35"/>
        <v>1823.5141788856304</v>
      </c>
      <c r="AN27" s="47">
        <f t="shared" si="36"/>
        <v>7901.894775171066</v>
      </c>
      <c r="AO27" s="68">
        <v>0</v>
      </c>
      <c r="AP27" s="54">
        <f t="shared" si="8"/>
        <v>-6078.380596285435</v>
      </c>
    </row>
    <row r="28" spans="1:42" s="3" customFormat="1" ht="18.75" customHeight="1">
      <c r="A28" s="5">
        <v>8</v>
      </c>
      <c r="B28" s="61" t="s">
        <v>87</v>
      </c>
      <c r="C28" s="55">
        <f t="shared" si="24"/>
        <v>0</v>
      </c>
      <c r="D28" s="55">
        <f t="shared" si="25"/>
        <v>0</v>
      </c>
      <c r="E28" s="52"/>
      <c r="F28" s="65">
        <f t="shared" si="23"/>
        <v>20825</v>
      </c>
      <c r="G28" s="65">
        <f t="shared" si="26"/>
        <v>6247.499999999999</v>
      </c>
      <c r="H28" s="66">
        <f t="shared" si="29"/>
        <v>27072.5</v>
      </c>
      <c r="I28" s="55">
        <f t="shared" si="27"/>
        <v>0</v>
      </c>
      <c r="J28" s="54">
        <f t="shared" si="1"/>
        <v>-20825</v>
      </c>
      <c r="K28" s="59">
        <v>0</v>
      </c>
      <c r="L28" s="52">
        <v>0</v>
      </c>
      <c r="M28" s="52">
        <v>0</v>
      </c>
      <c r="N28" s="52">
        <v>5220</v>
      </c>
      <c r="O28" s="52">
        <f t="shared" si="30"/>
        <v>1566</v>
      </c>
      <c r="P28" s="60">
        <f t="shared" si="31"/>
        <v>6786</v>
      </c>
      <c r="Q28" s="68">
        <v>0</v>
      </c>
      <c r="R28" s="54">
        <f t="shared" si="3"/>
        <v>-5220</v>
      </c>
      <c r="S28" s="59">
        <v>0</v>
      </c>
      <c r="T28" s="52">
        <v>0</v>
      </c>
      <c r="U28" s="52">
        <v>0</v>
      </c>
      <c r="V28" s="52">
        <v>5188</v>
      </c>
      <c r="W28" s="52">
        <f t="shared" si="28"/>
        <v>1556.3999999999999</v>
      </c>
      <c r="X28" s="47">
        <f t="shared" si="32"/>
        <v>6744.4</v>
      </c>
      <c r="Y28" s="68">
        <v>0</v>
      </c>
      <c r="Z28" s="54">
        <f t="shared" si="5"/>
        <v>-5188</v>
      </c>
      <c r="AA28" s="45">
        <v>0</v>
      </c>
      <c r="AB28" s="45">
        <v>0</v>
      </c>
      <c r="AC28" s="45">
        <v>0</v>
      </c>
      <c r="AD28" s="45">
        <v>5499</v>
      </c>
      <c r="AE28" s="45">
        <f t="shared" si="33"/>
        <v>1649.7</v>
      </c>
      <c r="AF28" s="47">
        <f t="shared" si="34"/>
        <v>7148.7</v>
      </c>
      <c r="AG28" s="68">
        <v>0</v>
      </c>
      <c r="AH28" s="54">
        <f t="shared" si="7"/>
        <v>-5499</v>
      </c>
      <c r="AI28" s="45">
        <v>0</v>
      </c>
      <c r="AJ28" s="45">
        <v>0</v>
      </c>
      <c r="AK28" s="45">
        <v>0</v>
      </c>
      <c r="AL28" s="45">
        <v>4918</v>
      </c>
      <c r="AM28" s="45">
        <f t="shared" si="35"/>
        <v>1475.3999999999999</v>
      </c>
      <c r="AN28" s="47">
        <f t="shared" si="36"/>
        <v>6393.4</v>
      </c>
      <c r="AO28" s="68">
        <v>0</v>
      </c>
      <c r="AP28" s="54">
        <f t="shared" si="8"/>
        <v>-4918</v>
      </c>
    </row>
    <row r="29" spans="1:42" s="3" customFormat="1" ht="18.75" customHeight="1">
      <c r="A29" s="5">
        <v>9</v>
      </c>
      <c r="B29" s="61" t="s">
        <v>88</v>
      </c>
      <c r="C29" s="55">
        <f t="shared" si="24"/>
        <v>0</v>
      </c>
      <c r="D29" s="55">
        <f t="shared" si="25"/>
        <v>0</v>
      </c>
      <c r="E29" s="52"/>
      <c r="F29" s="65">
        <f t="shared" si="23"/>
        <v>11296</v>
      </c>
      <c r="G29" s="65">
        <f t="shared" si="26"/>
        <v>3388.8</v>
      </c>
      <c r="H29" s="66">
        <f t="shared" si="29"/>
        <v>14684.8</v>
      </c>
      <c r="I29" s="55">
        <f t="shared" si="27"/>
        <v>0</v>
      </c>
      <c r="J29" s="54">
        <f t="shared" si="1"/>
        <v>-11296</v>
      </c>
      <c r="K29" s="59">
        <v>0</v>
      </c>
      <c r="L29" s="52">
        <v>0</v>
      </c>
      <c r="M29" s="52">
        <v>0</v>
      </c>
      <c r="N29" s="52">
        <v>2671</v>
      </c>
      <c r="O29" s="52">
        <f t="shared" si="30"/>
        <v>801.3</v>
      </c>
      <c r="P29" s="60">
        <f t="shared" si="31"/>
        <v>3472.3</v>
      </c>
      <c r="Q29" s="68">
        <v>0</v>
      </c>
      <c r="R29" s="54">
        <f t="shared" si="3"/>
        <v>-2671</v>
      </c>
      <c r="S29" s="59">
        <v>0</v>
      </c>
      <c r="T29" s="52">
        <v>0</v>
      </c>
      <c r="U29" s="52">
        <v>0</v>
      </c>
      <c r="V29" s="52">
        <v>2720</v>
      </c>
      <c r="W29" s="52">
        <f t="shared" si="28"/>
        <v>816</v>
      </c>
      <c r="X29" s="47">
        <f t="shared" si="32"/>
        <v>3536</v>
      </c>
      <c r="Y29" s="68">
        <v>0</v>
      </c>
      <c r="Z29" s="54">
        <f t="shared" si="5"/>
        <v>-2720</v>
      </c>
      <c r="AA29" s="45">
        <v>0</v>
      </c>
      <c r="AB29" s="45">
        <v>0</v>
      </c>
      <c r="AC29" s="45">
        <v>0</v>
      </c>
      <c r="AD29" s="45">
        <v>3090</v>
      </c>
      <c r="AE29" s="45">
        <f t="shared" si="33"/>
        <v>927</v>
      </c>
      <c r="AF29" s="47">
        <f t="shared" si="34"/>
        <v>4017</v>
      </c>
      <c r="AG29" s="68">
        <v>0</v>
      </c>
      <c r="AH29" s="54">
        <f t="shared" si="7"/>
        <v>-3090</v>
      </c>
      <c r="AI29" s="45">
        <v>0</v>
      </c>
      <c r="AJ29" s="45">
        <v>0</v>
      </c>
      <c r="AK29" s="45">
        <v>0</v>
      </c>
      <c r="AL29" s="45">
        <v>2815</v>
      </c>
      <c r="AM29" s="45">
        <f t="shared" si="35"/>
        <v>844.5</v>
      </c>
      <c r="AN29" s="47">
        <f t="shared" si="36"/>
        <v>3659.5</v>
      </c>
      <c r="AO29" s="68">
        <v>0</v>
      </c>
      <c r="AP29" s="54">
        <f t="shared" si="8"/>
        <v>-2815</v>
      </c>
    </row>
    <row r="30" spans="1:42" s="3" customFormat="1" ht="18.75" customHeight="1">
      <c r="A30" s="5">
        <v>10</v>
      </c>
      <c r="B30" s="61" t="s">
        <v>74</v>
      </c>
      <c r="C30" s="55">
        <f t="shared" si="24"/>
        <v>0</v>
      </c>
      <c r="D30" s="55">
        <f t="shared" si="25"/>
        <v>0</v>
      </c>
      <c r="E30" s="52"/>
      <c r="F30" s="65">
        <f t="shared" si="23"/>
        <v>38894</v>
      </c>
      <c r="G30" s="65">
        <f t="shared" si="26"/>
        <v>11668.199999999999</v>
      </c>
      <c r="H30" s="66">
        <f t="shared" si="29"/>
        <v>50562.2</v>
      </c>
      <c r="I30" s="55">
        <f t="shared" si="27"/>
        <v>0</v>
      </c>
      <c r="J30" s="54">
        <f t="shared" si="1"/>
        <v>-38894</v>
      </c>
      <c r="K30" s="59">
        <v>0</v>
      </c>
      <c r="L30" s="52">
        <v>0</v>
      </c>
      <c r="M30" s="52">
        <v>0</v>
      </c>
      <c r="N30" s="52">
        <v>10757</v>
      </c>
      <c r="O30" s="52">
        <f t="shared" si="30"/>
        <v>3227.1</v>
      </c>
      <c r="P30" s="60">
        <f t="shared" si="31"/>
        <v>13984.1</v>
      </c>
      <c r="Q30" s="68">
        <v>0</v>
      </c>
      <c r="R30" s="54">
        <f t="shared" si="3"/>
        <v>-10757</v>
      </c>
      <c r="S30" s="59">
        <v>0</v>
      </c>
      <c r="T30" s="52">
        <v>0</v>
      </c>
      <c r="U30" s="52">
        <v>0</v>
      </c>
      <c r="V30" s="52">
        <v>9211</v>
      </c>
      <c r="W30" s="52">
        <f t="shared" si="28"/>
        <v>2763.2999999999997</v>
      </c>
      <c r="X30" s="47">
        <f t="shared" si="32"/>
        <v>11974.3</v>
      </c>
      <c r="Y30" s="68">
        <v>0</v>
      </c>
      <c r="Z30" s="54">
        <f t="shared" si="5"/>
        <v>-9211</v>
      </c>
      <c r="AA30" s="45">
        <v>0</v>
      </c>
      <c r="AB30" s="45">
        <v>0</v>
      </c>
      <c r="AC30" s="45">
        <v>0</v>
      </c>
      <c r="AD30" s="45">
        <v>9708</v>
      </c>
      <c r="AE30" s="45">
        <f t="shared" si="33"/>
        <v>2912.4</v>
      </c>
      <c r="AF30" s="47">
        <f t="shared" si="34"/>
        <v>12620.4</v>
      </c>
      <c r="AG30" s="68">
        <v>0</v>
      </c>
      <c r="AH30" s="54">
        <f t="shared" si="7"/>
        <v>-9708</v>
      </c>
      <c r="AI30" s="45">
        <v>0</v>
      </c>
      <c r="AJ30" s="45">
        <v>0</v>
      </c>
      <c r="AK30" s="45">
        <v>0</v>
      </c>
      <c r="AL30" s="45">
        <v>9218</v>
      </c>
      <c r="AM30" s="45">
        <f t="shared" si="35"/>
        <v>2765.4</v>
      </c>
      <c r="AN30" s="47">
        <f t="shared" si="36"/>
        <v>11983.4</v>
      </c>
      <c r="AO30" s="68">
        <v>0</v>
      </c>
      <c r="AP30" s="54">
        <f t="shared" si="8"/>
        <v>-9218</v>
      </c>
    </row>
    <row r="31" spans="1:42" s="13" customFormat="1" ht="18.75" customHeight="1">
      <c r="A31" s="5">
        <v>11</v>
      </c>
      <c r="B31" s="61" t="s">
        <v>89</v>
      </c>
      <c r="C31" s="55">
        <f t="shared" si="24"/>
        <v>0</v>
      </c>
      <c r="D31" s="55">
        <f t="shared" si="25"/>
        <v>0</v>
      </c>
      <c r="E31" s="52"/>
      <c r="F31" s="65">
        <f t="shared" si="23"/>
        <v>47890.2</v>
      </c>
      <c r="G31" s="65">
        <f t="shared" si="26"/>
        <v>14367.059999999998</v>
      </c>
      <c r="H31" s="66">
        <f t="shared" si="29"/>
        <v>62257.259999999995</v>
      </c>
      <c r="I31" s="55">
        <f t="shared" si="27"/>
        <v>0</v>
      </c>
      <c r="J31" s="54">
        <f t="shared" si="1"/>
        <v>-47890.2</v>
      </c>
      <c r="K31" s="59">
        <v>0</v>
      </c>
      <c r="L31" s="52">
        <v>0</v>
      </c>
      <c r="M31" s="52">
        <v>0</v>
      </c>
      <c r="N31" s="52">
        <v>12256.9</v>
      </c>
      <c r="O31" s="52">
        <f t="shared" si="30"/>
        <v>3677.0699999999997</v>
      </c>
      <c r="P31" s="60">
        <f>SUM(N31:O31)</f>
        <v>15933.97</v>
      </c>
      <c r="Q31" s="68">
        <v>0</v>
      </c>
      <c r="R31" s="54">
        <f t="shared" si="3"/>
        <v>-12256.9</v>
      </c>
      <c r="S31" s="59">
        <v>0</v>
      </c>
      <c r="T31" s="52">
        <v>0</v>
      </c>
      <c r="U31" s="52">
        <v>0</v>
      </c>
      <c r="V31" s="52">
        <v>11830.2</v>
      </c>
      <c r="W31" s="52">
        <f t="shared" si="28"/>
        <v>3549.06</v>
      </c>
      <c r="X31" s="47">
        <f t="shared" si="32"/>
        <v>15379.26</v>
      </c>
      <c r="Y31" s="68">
        <v>0</v>
      </c>
      <c r="Z31" s="54">
        <f t="shared" si="5"/>
        <v>-11830.2</v>
      </c>
      <c r="AA31" s="45">
        <v>0</v>
      </c>
      <c r="AB31" s="45">
        <v>0</v>
      </c>
      <c r="AC31" s="45">
        <v>0</v>
      </c>
      <c r="AD31" s="45">
        <v>11946</v>
      </c>
      <c r="AE31" s="45">
        <f t="shared" si="33"/>
        <v>3583.7999999999997</v>
      </c>
      <c r="AF31" s="47">
        <f t="shared" si="34"/>
        <v>15529.8</v>
      </c>
      <c r="AG31" s="68">
        <v>0</v>
      </c>
      <c r="AH31" s="54">
        <f t="shared" si="7"/>
        <v>-11946</v>
      </c>
      <c r="AI31" s="45">
        <v>0</v>
      </c>
      <c r="AJ31" s="45">
        <v>0</v>
      </c>
      <c r="AK31" s="45">
        <v>0</v>
      </c>
      <c r="AL31" s="45">
        <v>11857.1</v>
      </c>
      <c r="AM31" s="45">
        <f t="shared" si="35"/>
        <v>3557.13</v>
      </c>
      <c r="AN31" s="47">
        <f t="shared" si="36"/>
        <v>15414.23</v>
      </c>
      <c r="AO31" s="68">
        <v>0</v>
      </c>
      <c r="AP31" s="54">
        <f t="shared" si="8"/>
        <v>-11857.1</v>
      </c>
    </row>
    <row r="32" spans="1:42" s="3" customFormat="1" ht="37.5">
      <c r="A32" s="42" t="s">
        <v>4</v>
      </c>
      <c r="B32" s="37" t="s">
        <v>7</v>
      </c>
      <c r="C32" s="49">
        <f>SUM(C33:C48)</f>
        <v>171.9</v>
      </c>
      <c r="D32" s="49">
        <f>SUM(D33:D48)</f>
        <v>178.561</v>
      </c>
      <c r="E32" s="49">
        <f>D32/C32*100</f>
        <v>103.87492728330426</v>
      </c>
      <c r="F32" s="64">
        <f t="shared" si="23"/>
        <v>849346.3999999999</v>
      </c>
      <c r="G32" s="64">
        <f>F32*0.3</f>
        <v>254803.91999999995</v>
      </c>
      <c r="H32" s="64">
        <f>SUM(F32:G32)</f>
        <v>1104150.3199999998</v>
      </c>
      <c r="I32" s="49">
        <f>SUM(I33:I48)</f>
        <v>0</v>
      </c>
      <c r="J32" s="54">
        <f t="shared" si="1"/>
        <v>-849346.3999999999</v>
      </c>
      <c r="K32" s="49">
        <f>SUM(K33:K48)</f>
        <v>36.2</v>
      </c>
      <c r="L32" s="49">
        <f>SUM(L33:L48)</f>
        <v>39.632</v>
      </c>
      <c r="M32" s="49">
        <f>L32/K32*100</f>
        <v>109.4806629834254</v>
      </c>
      <c r="N32" s="64">
        <f>279607.6-59386.7</f>
        <v>220220.89999999997</v>
      </c>
      <c r="O32" s="64">
        <f t="shared" si="30"/>
        <v>66066.26999999999</v>
      </c>
      <c r="P32" s="64">
        <f>SUM(N32:O32)</f>
        <v>286287.1699999999</v>
      </c>
      <c r="Q32" s="49">
        <f>SUM(Q33:Q48)</f>
        <v>0</v>
      </c>
      <c r="R32" s="54">
        <f t="shared" si="3"/>
        <v>-220220.89999999997</v>
      </c>
      <c r="S32" s="49">
        <f>SUM(S33:S48)</f>
        <v>34.4</v>
      </c>
      <c r="T32" s="49">
        <f>SUM(T33:T48)</f>
        <v>37.629000000000005</v>
      </c>
      <c r="U32" s="49">
        <f>T32/S32*100</f>
        <v>109.38662790697676</v>
      </c>
      <c r="V32" s="64">
        <f>263571.3-63236.6</f>
        <v>200334.69999999998</v>
      </c>
      <c r="W32" s="64">
        <f t="shared" si="28"/>
        <v>60100.40999999999</v>
      </c>
      <c r="X32" s="64">
        <f>SUM(V32:W32)</f>
        <v>260435.11</v>
      </c>
      <c r="Y32" s="49">
        <f>SUM(Y33:Y48)</f>
        <v>0</v>
      </c>
      <c r="Z32" s="54">
        <f t="shared" si="5"/>
        <v>-200334.69999999998</v>
      </c>
      <c r="AA32" s="49">
        <f>SUM(AA33:AA48)</f>
        <v>45.900000000000006</v>
      </c>
      <c r="AB32" s="49">
        <f>SUM(AB33:AB48)</f>
        <v>45.900000000000006</v>
      </c>
      <c r="AC32" s="49">
        <f>AB32/AA32*100</f>
        <v>100</v>
      </c>
      <c r="AD32" s="64">
        <f>286618.3-70329</f>
        <v>216289.3</v>
      </c>
      <c r="AE32" s="64">
        <f t="shared" si="33"/>
        <v>64886.78999999999</v>
      </c>
      <c r="AF32" s="64">
        <f>SUM(AD32:AE32)</f>
        <v>281176.08999999997</v>
      </c>
      <c r="AG32" s="49">
        <f>SUM(AG33:AG48)</f>
        <v>0</v>
      </c>
      <c r="AH32" s="54">
        <f t="shared" si="7"/>
        <v>-216289.3</v>
      </c>
      <c r="AI32" s="49">
        <f>SUM(AI33:AI48)</f>
        <v>55.400000000000006</v>
      </c>
      <c r="AJ32" s="49">
        <f>SUM(AJ33:AJ48)</f>
        <v>55.400000000000006</v>
      </c>
      <c r="AK32" s="49">
        <f>AJ32/AI32*100</f>
        <v>100</v>
      </c>
      <c r="AL32" s="64">
        <f>275237.1-62735.6</f>
        <v>212501.49999999997</v>
      </c>
      <c r="AM32" s="64">
        <f t="shared" si="35"/>
        <v>63750.44999999999</v>
      </c>
      <c r="AN32" s="64">
        <f>SUM(AL32:AM32)</f>
        <v>276251.94999999995</v>
      </c>
      <c r="AO32" s="49">
        <f>SUM(AO33:AO48)</f>
        <v>0</v>
      </c>
      <c r="AP32" s="54">
        <f t="shared" si="8"/>
        <v>-212501.49999999997</v>
      </c>
    </row>
    <row r="33" spans="1:42" s="3" customFormat="1" ht="18.75">
      <c r="A33" s="40">
        <v>1</v>
      </c>
      <c r="B33" s="32" t="s">
        <v>90</v>
      </c>
      <c r="C33" s="55">
        <f aca="true" t="shared" si="37" ref="C33:C52">K33+S33+AA33+AI33</f>
        <v>55.7</v>
      </c>
      <c r="D33" s="55">
        <f aca="true" t="shared" si="38" ref="D33:D52">L33+T33+AB33+AJ33</f>
        <v>58.400000000000006</v>
      </c>
      <c r="E33" s="56"/>
      <c r="F33" s="55">
        <f t="shared" si="23"/>
        <v>238358.30000000002</v>
      </c>
      <c r="G33" s="55">
        <f aca="true" t="shared" si="39" ref="G33:G52">O33+W33+AE33+AM33</f>
        <v>71507.48999999999</v>
      </c>
      <c r="H33" s="57">
        <f>SUM(F33:G33)</f>
        <v>309865.79000000004</v>
      </c>
      <c r="I33" s="55">
        <f t="shared" si="27"/>
        <v>0</v>
      </c>
      <c r="J33" s="54">
        <f t="shared" si="1"/>
        <v>-238358.30000000002</v>
      </c>
      <c r="K33" s="52">
        <v>14.3</v>
      </c>
      <c r="L33" s="52">
        <v>17.2</v>
      </c>
      <c r="M33" s="49">
        <f aca="true" t="shared" si="40" ref="M33:M52">L33/K33*100</f>
        <v>120.27972027972027</v>
      </c>
      <c r="N33" s="52">
        <v>62397.7</v>
      </c>
      <c r="O33" s="52">
        <f t="shared" si="30"/>
        <v>18719.309999999998</v>
      </c>
      <c r="P33" s="50">
        <f t="shared" si="16"/>
        <v>81117.01</v>
      </c>
      <c r="Q33" s="68">
        <v>0</v>
      </c>
      <c r="R33" s="54">
        <f t="shared" si="3"/>
        <v>-62397.7</v>
      </c>
      <c r="S33" s="52">
        <v>13.1</v>
      </c>
      <c r="T33" s="52">
        <v>12.9</v>
      </c>
      <c r="U33" s="49">
        <f aca="true" t="shared" si="41" ref="U33:U52">T33/S33*100</f>
        <v>98.4732824427481</v>
      </c>
      <c r="V33" s="52">
        <v>56559.3</v>
      </c>
      <c r="W33" s="52">
        <f t="shared" si="28"/>
        <v>16967.79</v>
      </c>
      <c r="X33" s="46">
        <f t="shared" si="32"/>
        <v>73527.09</v>
      </c>
      <c r="Y33" s="68">
        <v>0</v>
      </c>
      <c r="Z33" s="54">
        <f t="shared" si="5"/>
        <v>-56559.3</v>
      </c>
      <c r="AA33" s="52">
        <v>14.3</v>
      </c>
      <c r="AB33" s="52">
        <v>14.3</v>
      </c>
      <c r="AC33" s="49">
        <f aca="true" t="shared" si="42" ref="AC33:AC52">AB33/AA33*100</f>
        <v>100</v>
      </c>
      <c r="AD33" s="52">
        <v>61434.7</v>
      </c>
      <c r="AE33" s="52">
        <f t="shared" si="33"/>
        <v>18430.41</v>
      </c>
      <c r="AF33" s="46">
        <f t="shared" si="34"/>
        <v>79865.11</v>
      </c>
      <c r="AG33" s="68">
        <v>0</v>
      </c>
      <c r="AH33" s="54">
        <f t="shared" si="7"/>
        <v>-61434.7</v>
      </c>
      <c r="AI33" s="52">
        <v>14</v>
      </c>
      <c r="AJ33" s="52">
        <v>14</v>
      </c>
      <c r="AK33" s="49">
        <f aca="true" t="shared" si="43" ref="AK33:AK52">AJ33/AI33*100</f>
        <v>100</v>
      </c>
      <c r="AL33" s="52">
        <v>57966.6</v>
      </c>
      <c r="AM33" s="52">
        <f t="shared" si="35"/>
        <v>17389.98</v>
      </c>
      <c r="AN33" s="46">
        <f t="shared" si="36"/>
        <v>75356.58</v>
      </c>
      <c r="AO33" s="68">
        <v>0</v>
      </c>
      <c r="AP33" s="54">
        <f t="shared" si="8"/>
        <v>-57966.6</v>
      </c>
    </row>
    <row r="34" spans="1:42" s="3" customFormat="1" ht="37.5">
      <c r="A34" s="40">
        <v>2</v>
      </c>
      <c r="B34" s="32" t="s">
        <v>91</v>
      </c>
      <c r="C34" s="55">
        <f t="shared" si="37"/>
        <v>34.5</v>
      </c>
      <c r="D34" s="55">
        <f t="shared" si="38"/>
        <v>34.561</v>
      </c>
      <c r="E34" s="56"/>
      <c r="F34" s="55">
        <f t="shared" si="23"/>
        <v>114796.1</v>
      </c>
      <c r="G34" s="55">
        <f t="shared" si="39"/>
        <v>34438.829999999994</v>
      </c>
      <c r="H34" s="57">
        <f t="shared" si="29"/>
        <v>149234.93</v>
      </c>
      <c r="I34" s="55">
        <f t="shared" si="27"/>
        <v>0</v>
      </c>
      <c r="J34" s="54">
        <f t="shared" si="1"/>
        <v>-114796.1</v>
      </c>
      <c r="K34" s="52">
        <v>0</v>
      </c>
      <c r="L34" s="63">
        <v>0.032</v>
      </c>
      <c r="M34" s="49" t="e">
        <f t="shared" si="40"/>
        <v>#DIV/0!</v>
      </c>
      <c r="N34" s="52">
        <v>25577.6</v>
      </c>
      <c r="O34" s="52">
        <f t="shared" si="30"/>
        <v>7673.279999999999</v>
      </c>
      <c r="P34" s="50">
        <f t="shared" si="16"/>
        <v>33250.88</v>
      </c>
      <c r="Q34" s="68">
        <v>0</v>
      </c>
      <c r="R34" s="54">
        <f t="shared" si="3"/>
        <v>-25577.6</v>
      </c>
      <c r="S34" s="52">
        <v>0</v>
      </c>
      <c r="T34" s="63">
        <v>0.029</v>
      </c>
      <c r="U34" s="49" t="e">
        <f t="shared" si="41"/>
        <v>#DIV/0!</v>
      </c>
      <c r="V34" s="52">
        <v>24612.5</v>
      </c>
      <c r="W34" s="52">
        <f t="shared" si="28"/>
        <v>7383.75</v>
      </c>
      <c r="X34" s="46">
        <f t="shared" si="32"/>
        <v>31996.25</v>
      </c>
      <c r="Y34" s="68">
        <v>0</v>
      </c>
      <c r="Z34" s="54">
        <f t="shared" si="5"/>
        <v>-24612.5</v>
      </c>
      <c r="AA34" s="52">
        <v>12.3</v>
      </c>
      <c r="AB34" s="52">
        <v>12.3</v>
      </c>
      <c r="AC34" s="49">
        <f t="shared" si="42"/>
        <v>100</v>
      </c>
      <c r="AD34" s="52">
        <v>30264</v>
      </c>
      <c r="AE34" s="52">
        <f t="shared" si="33"/>
        <v>9079.199999999999</v>
      </c>
      <c r="AF34" s="46">
        <f t="shared" si="34"/>
        <v>39343.2</v>
      </c>
      <c r="AG34" s="68">
        <v>0</v>
      </c>
      <c r="AH34" s="54">
        <f t="shared" si="7"/>
        <v>-30264</v>
      </c>
      <c r="AI34" s="52">
        <v>22.2</v>
      </c>
      <c r="AJ34" s="52">
        <v>22.2</v>
      </c>
      <c r="AK34" s="49">
        <f t="shared" si="43"/>
        <v>100</v>
      </c>
      <c r="AL34" s="52">
        <v>34342</v>
      </c>
      <c r="AM34" s="52">
        <f t="shared" si="35"/>
        <v>10302.6</v>
      </c>
      <c r="AN34" s="46">
        <f t="shared" si="36"/>
        <v>44644.6</v>
      </c>
      <c r="AO34" s="68">
        <v>0</v>
      </c>
      <c r="AP34" s="54">
        <f t="shared" si="8"/>
        <v>-34342</v>
      </c>
    </row>
    <row r="35" spans="1:42" s="3" customFormat="1" ht="37.5">
      <c r="A35" s="40">
        <v>3</v>
      </c>
      <c r="B35" s="32" t="s">
        <v>92</v>
      </c>
      <c r="C35" s="55">
        <f t="shared" si="37"/>
        <v>9.2</v>
      </c>
      <c r="D35" s="55">
        <f t="shared" si="38"/>
        <v>10</v>
      </c>
      <c r="E35" s="56"/>
      <c r="F35" s="55">
        <f t="shared" si="23"/>
        <v>88910.5</v>
      </c>
      <c r="G35" s="55">
        <f t="shared" si="39"/>
        <v>26673.149999999998</v>
      </c>
      <c r="H35" s="57">
        <f t="shared" si="29"/>
        <v>115583.65</v>
      </c>
      <c r="I35" s="55">
        <f t="shared" si="27"/>
        <v>0</v>
      </c>
      <c r="J35" s="54">
        <f t="shared" si="1"/>
        <v>-88910.5</v>
      </c>
      <c r="K35" s="52">
        <v>2</v>
      </c>
      <c r="L35" s="52">
        <v>2.4</v>
      </c>
      <c r="M35" s="49">
        <f t="shared" si="40"/>
        <v>120</v>
      </c>
      <c r="N35" s="52">
        <v>22099.6</v>
      </c>
      <c r="O35" s="52">
        <f t="shared" si="30"/>
        <v>6629.879999999999</v>
      </c>
      <c r="P35" s="50">
        <f t="shared" si="16"/>
        <v>28729.479999999996</v>
      </c>
      <c r="Q35" s="68">
        <v>0</v>
      </c>
      <c r="R35" s="54">
        <f t="shared" si="3"/>
        <v>-22099.6</v>
      </c>
      <c r="S35" s="52">
        <v>2</v>
      </c>
      <c r="T35" s="52">
        <v>2.4</v>
      </c>
      <c r="U35" s="49">
        <f t="shared" si="41"/>
        <v>120</v>
      </c>
      <c r="V35" s="52">
        <v>21783.7</v>
      </c>
      <c r="W35" s="52">
        <f t="shared" si="28"/>
        <v>6535.11</v>
      </c>
      <c r="X35" s="46">
        <f t="shared" si="32"/>
        <v>28318.81</v>
      </c>
      <c r="Y35" s="68">
        <v>0</v>
      </c>
      <c r="Z35" s="54">
        <f t="shared" si="5"/>
        <v>-21783.7</v>
      </c>
      <c r="AA35" s="52">
        <v>2.6</v>
      </c>
      <c r="AB35" s="52">
        <v>2.6</v>
      </c>
      <c r="AC35" s="49">
        <f t="shared" si="42"/>
        <v>100</v>
      </c>
      <c r="AD35" s="52">
        <v>22709</v>
      </c>
      <c r="AE35" s="52">
        <f t="shared" si="33"/>
        <v>6812.7</v>
      </c>
      <c r="AF35" s="46">
        <f t="shared" si="34"/>
        <v>29521.7</v>
      </c>
      <c r="AG35" s="68">
        <v>0</v>
      </c>
      <c r="AH35" s="54">
        <f t="shared" si="7"/>
        <v>-22709</v>
      </c>
      <c r="AI35" s="52">
        <v>2.6</v>
      </c>
      <c r="AJ35" s="52">
        <v>2.6</v>
      </c>
      <c r="AK35" s="49">
        <f t="shared" si="43"/>
        <v>100</v>
      </c>
      <c r="AL35" s="52">
        <v>22318.2</v>
      </c>
      <c r="AM35" s="52">
        <f t="shared" si="35"/>
        <v>6695.46</v>
      </c>
      <c r="AN35" s="46">
        <f t="shared" si="36"/>
        <v>29013.66</v>
      </c>
      <c r="AO35" s="68">
        <v>0</v>
      </c>
      <c r="AP35" s="54">
        <f t="shared" si="8"/>
        <v>-22318.2</v>
      </c>
    </row>
    <row r="36" spans="1:42" s="3" customFormat="1" ht="18.75" customHeight="1">
      <c r="A36" s="40">
        <v>4</v>
      </c>
      <c r="B36" s="32" t="s">
        <v>93</v>
      </c>
      <c r="C36" s="55">
        <f t="shared" si="37"/>
        <v>9.299999999999997</v>
      </c>
      <c r="D36" s="55">
        <f t="shared" si="38"/>
        <v>8.999999999999998</v>
      </c>
      <c r="E36" s="56"/>
      <c r="F36" s="55">
        <f t="shared" si="23"/>
        <v>153785.4</v>
      </c>
      <c r="G36" s="55">
        <f t="shared" si="39"/>
        <v>46135.619999999995</v>
      </c>
      <c r="H36" s="57">
        <f t="shared" si="29"/>
        <v>199921.02</v>
      </c>
      <c r="I36" s="55">
        <f t="shared" si="27"/>
        <v>0</v>
      </c>
      <c r="J36" s="54">
        <f t="shared" si="1"/>
        <v>-153785.4</v>
      </c>
      <c r="K36" s="52">
        <v>4.8</v>
      </c>
      <c r="L36" s="52">
        <v>4.6</v>
      </c>
      <c r="M36" s="49">
        <f t="shared" si="40"/>
        <v>95.83333333333333</v>
      </c>
      <c r="N36" s="52">
        <v>39727.9</v>
      </c>
      <c r="O36" s="52">
        <f t="shared" si="30"/>
        <v>11918.37</v>
      </c>
      <c r="P36" s="50">
        <f t="shared" si="16"/>
        <v>51646.270000000004</v>
      </c>
      <c r="Q36" s="68">
        <v>0</v>
      </c>
      <c r="R36" s="54">
        <f t="shared" si="3"/>
        <v>-39727.9</v>
      </c>
      <c r="S36" s="52">
        <v>4.1</v>
      </c>
      <c r="T36" s="52">
        <v>4</v>
      </c>
      <c r="U36" s="49">
        <f t="shared" si="41"/>
        <v>97.56097560975611</v>
      </c>
      <c r="V36" s="52">
        <v>37984</v>
      </c>
      <c r="W36" s="52">
        <f t="shared" si="28"/>
        <v>11395.199999999999</v>
      </c>
      <c r="X36" s="46">
        <f t="shared" si="32"/>
        <v>49379.2</v>
      </c>
      <c r="Y36" s="68">
        <v>0</v>
      </c>
      <c r="Z36" s="54">
        <f t="shared" si="5"/>
        <v>-37984</v>
      </c>
      <c r="AA36" s="52">
        <v>0.2</v>
      </c>
      <c r="AB36" s="52">
        <v>0.2</v>
      </c>
      <c r="AC36" s="49">
        <f t="shared" si="42"/>
        <v>100</v>
      </c>
      <c r="AD36" s="52">
        <v>40297.1</v>
      </c>
      <c r="AE36" s="52">
        <f t="shared" si="33"/>
        <v>12089.13</v>
      </c>
      <c r="AF36" s="46">
        <f t="shared" si="34"/>
        <v>52386.229999999996</v>
      </c>
      <c r="AG36" s="68">
        <v>0</v>
      </c>
      <c r="AH36" s="54">
        <f t="shared" si="7"/>
        <v>-40297.1</v>
      </c>
      <c r="AI36" s="52">
        <v>0.2</v>
      </c>
      <c r="AJ36" s="52">
        <v>0.2</v>
      </c>
      <c r="AK36" s="49">
        <f t="shared" si="43"/>
        <v>100</v>
      </c>
      <c r="AL36" s="52">
        <v>35776.4</v>
      </c>
      <c r="AM36" s="52">
        <f t="shared" si="35"/>
        <v>10732.92</v>
      </c>
      <c r="AN36" s="46">
        <f t="shared" si="36"/>
        <v>46509.32</v>
      </c>
      <c r="AO36" s="68">
        <v>0</v>
      </c>
      <c r="AP36" s="54">
        <f t="shared" si="8"/>
        <v>-35776.4</v>
      </c>
    </row>
    <row r="37" spans="1:42" s="3" customFormat="1" ht="37.5">
      <c r="A37" s="40">
        <v>5</v>
      </c>
      <c r="B37" s="32" t="s">
        <v>94</v>
      </c>
      <c r="C37" s="55">
        <f t="shared" si="37"/>
        <v>63.199999999999996</v>
      </c>
      <c r="D37" s="55">
        <f t="shared" si="38"/>
        <v>66.6</v>
      </c>
      <c r="E37" s="56"/>
      <c r="F37" s="55">
        <f t="shared" si="23"/>
        <v>323981.7</v>
      </c>
      <c r="G37" s="55">
        <f t="shared" si="39"/>
        <v>97194.51</v>
      </c>
      <c r="H37" s="57">
        <f t="shared" si="29"/>
        <v>421176.21</v>
      </c>
      <c r="I37" s="55">
        <f t="shared" si="27"/>
        <v>0</v>
      </c>
      <c r="J37" s="54">
        <f t="shared" si="1"/>
        <v>-323981.7</v>
      </c>
      <c r="K37" s="52">
        <v>15.1</v>
      </c>
      <c r="L37" s="52">
        <v>15.4</v>
      </c>
      <c r="M37" s="49">
        <f t="shared" si="40"/>
        <v>101.98675496688743</v>
      </c>
      <c r="N37" s="52">
        <v>83021.9</v>
      </c>
      <c r="O37" s="52">
        <f t="shared" si="30"/>
        <v>24906.569999999996</v>
      </c>
      <c r="P37" s="50">
        <f t="shared" si="16"/>
        <v>107928.46999999999</v>
      </c>
      <c r="Q37" s="68">
        <v>0</v>
      </c>
      <c r="R37" s="54">
        <f t="shared" si="3"/>
        <v>-83021.9</v>
      </c>
      <c r="S37" s="52">
        <v>15.2</v>
      </c>
      <c r="T37" s="52">
        <v>18.3</v>
      </c>
      <c r="U37" s="49">
        <f t="shared" si="41"/>
        <v>120.39473684210526</v>
      </c>
      <c r="V37" s="52">
        <v>78040.4</v>
      </c>
      <c r="W37" s="52">
        <f t="shared" si="28"/>
        <v>23412.12</v>
      </c>
      <c r="X37" s="46">
        <f t="shared" si="32"/>
        <v>101452.51999999999</v>
      </c>
      <c r="Y37" s="68">
        <v>0</v>
      </c>
      <c r="Z37" s="54">
        <f t="shared" si="5"/>
        <v>-78040.4</v>
      </c>
      <c r="AA37" s="52">
        <v>16.5</v>
      </c>
      <c r="AB37" s="52">
        <v>16.5</v>
      </c>
      <c r="AC37" s="49">
        <f t="shared" si="42"/>
        <v>100</v>
      </c>
      <c r="AD37" s="52">
        <v>84135.7</v>
      </c>
      <c r="AE37" s="52">
        <f t="shared" si="33"/>
        <v>25240.71</v>
      </c>
      <c r="AF37" s="46">
        <f t="shared" si="34"/>
        <v>109376.41</v>
      </c>
      <c r="AG37" s="68">
        <v>0</v>
      </c>
      <c r="AH37" s="54">
        <f t="shared" si="7"/>
        <v>-84135.7</v>
      </c>
      <c r="AI37" s="52">
        <v>16.4</v>
      </c>
      <c r="AJ37" s="52">
        <v>16.4</v>
      </c>
      <c r="AK37" s="49">
        <f t="shared" si="43"/>
        <v>100</v>
      </c>
      <c r="AL37" s="52">
        <v>78783.7</v>
      </c>
      <c r="AM37" s="52">
        <f t="shared" si="35"/>
        <v>23635.109999999997</v>
      </c>
      <c r="AN37" s="46">
        <f t="shared" si="36"/>
        <v>102418.81</v>
      </c>
      <c r="AO37" s="68">
        <v>0</v>
      </c>
      <c r="AP37" s="54">
        <f t="shared" si="8"/>
        <v>-78783.7</v>
      </c>
    </row>
    <row r="38" spans="1:42" s="3" customFormat="1" ht="18.75">
      <c r="A38" s="40">
        <v>6</v>
      </c>
      <c r="B38" s="32" t="s">
        <v>95</v>
      </c>
      <c r="C38" s="55">
        <f t="shared" si="37"/>
        <v>0</v>
      </c>
      <c r="D38" s="55">
        <f t="shared" si="38"/>
        <v>0</v>
      </c>
      <c r="E38" s="56"/>
      <c r="F38" s="55">
        <f t="shared" si="23"/>
        <v>17058.5</v>
      </c>
      <c r="G38" s="55">
        <f t="shared" si="39"/>
        <v>5117.55</v>
      </c>
      <c r="H38" s="57">
        <f t="shared" si="29"/>
        <v>22176.05</v>
      </c>
      <c r="I38" s="55">
        <f t="shared" si="27"/>
        <v>0</v>
      </c>
      <c r="J38" s="54">
        <f t="shared" si="1"/>
        <v>-17058.5</v>
      </c>
      <c r="K38" s="44"/>
      <c r="L38" s="44"/>
      <c r="M38" s="49" t="e">
        <f t="shared" si="40"/>
        <v>#DIV/0!</v>
      </c>
      <c r="N38" s="52">
        <v>4286.1</v>
      </c>
      <c r="O38" s="52">
        <f>0.3*N38</f>
        <v>1285.8300000000002</v>
      </c>
      <c r="P38" s="50">
        <f t="shared" si="16"/>
        <v>5571.93</v>
      </c>
      <c r="Q38" s="68">
        <v>0</v>
      </c>
      <c r="R38" s="54">
        <f t="shared" si="3"/>
        <v>-4286.1</v>
      </c>
      <c r="S38" s="44"/>
      <c r="T38" s="44"/>
      <c r="U38" s="49" t="e">
        <f t="shared" si="41"/>
        <v>#DIV/0!</v>
      </c>
      <c r="V38" s="52">
        <v>4163.3</v>
      </c>
      <c r="W38" s="52">
        <f>0.3*V38</f>
        <v>1248.99</v>
      </c>
      <c r="X38" s="46">
        <f t="shared" si="32"/>
        <v>5412.29</v>
      </c>
      <c r="Y38" s="68">
        <v>0</v>
      </c>
      <c r="Z38" s="54">
        <f t="shared" si="5"/>
        <v>-4163.3</v>
      </c>
      <c r="AA38" s="44"/>
      <c r="AB38" s="44"/>
      <c r="AC38" s="49" t="e">
        <f t="shared" si="42"/>
        <v>#DIV/0!</v>
      </c>
      <c r="AD38" s="52">
        <v>4410.1</v>
      </c>
      <c r="AE38" s="52">
        <f>0.3*AD38</f>
        <v>1323.03</v>
      </c>
      <c r="AF38" s="46">
        <f t="shared" si="34"/>
        <v>5733.13</v>
      </c>
      <c r="AG38" s="68">
        <v>0</v>
      </c>
      <c r="AH38" s="54">
        <f t="shared" si="7"/>
        <v>-4410.1</v>
      </c>
      <c r="AI38" s="52"/>
      <c r="AJ38" s="52"/>
      <c r="AK38" s="49" t="e">
        <f t="shared" si="43"/>
        <v>#DIV/0!</v>
      </c>
      <c r="AL38" s="52">
        <v>4199</v>
      </c>
      <c r="AM38" s="52">
        <f>0.3*AL38</f>
        <v>1259.7</v>
      </c>
      <c r="AN38" s="46">
        <f t="shared" si="36"/>
        <v>5458.7</v>
      </c>
      <c r="AO38" s="68">
        <v>0</v>
      </c>
      <c r="AP38" s="54">
        <f t="shared" si="8"/>
        <v>-4199</v>
      </c>
    </row>
    <row r="39" spans="1:42" s="3" customFormat="1" ht="18.75">
      <c r="A39" s="40">
        <v>7</v>
      </c>
      <c r="B39" s="32" t="s">
        <v>96</v>
      </c>
      <c r="C39" s="55">
        <f t="shared" si="37"/>
        <v>0</v>
      </c>
      <c r="D39" s="55">
        <f t="shared" si="38"/>
        <v>0</v>
      </c>
      <c r="E39" s="56"/>
      <c r="F39" s="55">
        <f t="shared" si="23"/>
        <v>42374.5</v>
      </c>
      <c r="G39" s="55">
        <f t="shared" si="39"/>
        <v>12712.349999999999</v>
      </c>
      <c r="H39" s="57">
        <f t="shared" si="29"/>
        <v>55086.85</v>
      </c>
      <c r="I39" s="55">
        <f t="shared" si="27"/>
        <v>0</v>
      </c>
      <c r="J39" s="54">
        <f t="shared" si="1"/>
        <v>-42374.5</v>
      </c>
      <c r="K39" s="44"/>
      <c r="L39" s="44"/>
      <c r="M39" s="49" t="e">
        <f t="shared" si="40"/>
        <v>#DIV/0!</v>
      </c>
      <c r="N39" s="52">
        <v>10686.3</v>
      </c>
      <c r="O39" s="52">
        <f aca="true" t="shared" si="44" ref="O39:O48">0.3*N39</f>
        <v>3205.89</v>
      </c>
      <c r="P39" s="50">
        <f t="shared" si="16"/>
        <v>13892.189999999999</v>
      </c>
      <c r="Q39" s="68">
        <v>0</v>
      </c>
      <c r="R39" s="54">
        <f t="shared" si="3"/>
        <v>-10686.3</v>
      </c>
      <c r="S39" s="44"/>
      <c r="T39" s="44"/>
      <c r="U39" s="49" t="e">
        <f t="shared" si="41"/>
        <v>#DIV/0!</v>
      </c>
      <c r="V39" s="52">
        <v>10149.4</v>
      </c>
      <c r="W39" s="52">
        <f aca="true" t="shared" si="45" ref="W39:W48">0.3*V39</f>
        <v>3044.8199999999997</v>
      </c>
      <c r="X39" s="46">
        <f t="shared" si="32"/>
        <v>13194.22</v>
      </c>
      <c r="Y39" s="68">
        <v>0</v>
      </c>
      <c r="Z39" s="54">
        <f t="shared" si="5"/>
        <v>-10149.4</v>
      </c>
      <c r="AA39" s="44"/>
      <c r="AB39" s="44"/>
      <c r="AC39" s="49" t="e">
        <f t="shared" si="42"/>
        <v>#DIV/0!</v>
      </c>
      <c r="AD39" s="52">
        <v>11260</v>
      </c>
      <c r="AE39" s="52">
        <f aca="true" t="shared" si="46" ref="AE39:AE48">0.3*AD39</f>
        <v>3378</v>
      </c>
      <c r="AF39" s="46">
        <f t="shared" si="34"/>
        <v>14638</v>
      </c>
      <c r="AG39" s="68">
        <v>0</v>
      </c>
      <c r="AH39" s="54">
        <f t="shared" si="7"/>
        <v>-11260</v>
      </c>
      <c r="AI39" s="52"/>
      <c r="AJ39" s="52"/>
      <c r="AK39" s="49" t="e">
        <f t="shared" si="43"/>
        <v>#DIV/0!</v>
      </c>
      <c r="AL39" s="52">
        <v>10278.8</v>
      </c>
      <c r="AM39" s="52">
        <f aca="true" t="shared" si="47" ref="AM39:AM48">0.3*AL39</f>
        <v>3083.64</v>
      </c>
      <c r="AN39" s="46">
        <f t="shared" si="36"/>
        <v>13362.439999999999</v>
      </c>
      <c r="AO39" s="68">
        <v>0</v>
      </c>
      <c r="AP39" s="54">
        <f t="shared" si="8"/>
        <v>-10278.8</v>
      </c>
    </row>
    <row r="40" spans="1:42" s="3" customFormat="1" ht="18.75">
      <c r="A40" s="40">
        <v>8</v>
      </c>
      <c r="B40" s="32" t="s">
        <v>97</v>
      </c>
      <c r="C40" s="55">
        <f t="shared" si="37"/>
        <v>0</v>
      </c>
      <c r="D40" s="55">
        <f t="shared" si="38"/>
        <v>0</v>
      </c>
      <c r="E40" s="56"/>
      <c r="F40" s="55">
        <f t="shared" si="23"/>
        <v>44250.5</v>
      </c>
      <c r="G40" s="55">
        <f t="shared" si="39"/>
        <v>13275.15</v>
      </c>
      <c r="H40" s="57">
        <f t="shared" si="29"/>
        <v>57525.65</v>
      </c>
      <c r="I40" s="55">
        <f t="shared" si="27"/>
        <v>0</v>
      </c>
      <c r="J40" s="54">
        <f t="shared" si="1"/>
        <v>-44250.5</v>
      </c>
      <c r="K40" s="44"/>
      <c r="L40" s="44"/>
      <c r="M40" s="49" t="e">
        <f t="shared" si="40"/>
        <v>#DIV/0!</v>
      </c>
      <c r="N40" s="52">
        <v>11602.2</v>
      </c>
      <c r="O40" s="52">
        <f t="shared" si="44"/>
        <v>3480.6600000000003</v>
      </c>
      <c r="P40" s="50">
        <f t="shared" si="16"/>
        <v>15082.86</v>
      </c>
      <c r="Q40" s="68">
        <v>0</v>
      </c>
      <c r="R40" s="54">
        <f t="shared" si="3"/>
        <v>-11602.2</v>
      </c>
      <c r="S40" s="44"/>
      <c r="T40" s="44"/>
      <c r="U40" s="49" t="e">
        <f t="shared" si="41"/>
        <v>#DIV/0!</v>
      </c>
      <c r="V40" s="52">
        <v>10858.1</v>
      </c>
      <c r="W40" s="52">
        <f t="shared" si="45"/>
        <v>3257.43</v>
      </c>
      <c r="X40" s="46">
        <f t="shared" si="32"/>
        <v>14115.53</v>
      </c>
      <c r="Y40" s="68">
        <v>0</v>
      </c>
      <c r="Z40" s="54">
        <f t="shared" si="5"/>
        <v>-10858.1</v>
      </c>
      <c r="AA40" s="44"/>
      <c r="AB40" s="44"/>
      <c r="AC40" s="49" t="e">
        <f t="shared" si="42"/>
        <v>#DIV/0!</v>
      </c>
      <c r="AD40" s="52">
        <v>11020.5</v>
      </c>
      <c r="AE40" s="52">
        <f t="shared" si="46"/>
        <v>3306.15</v>
      </c>
      <c r="AF40" s="46">
        <f t="shared" si="34"/>
        <v>14326.65</v>
      </c>
      <c r="AG40" s="68">
        <v>0</v>
      </c>
      <c r="AH40" s="54">
        <f t="shared" si="7"/>
        <v>-11020.5</v>
      </c>
      <c r="AI40" s="52"/>
      <c r="AJ40" s="52"/>
      <c r="AK40" s="49" t="e">
        <f t="shared" si="43"/>
        <v>#DIV/0!</v>
      </c>
      <c r="AL40" s="52">
        <v>10769.7</v>
      </c>
      <c r="AM40" s="52">
        <f t="shared" si="47"/>
        <v>3230.9100000000003</v>
      </c>
      <c r="AN40" s="46">
        <f t="shared" si="36"/>
        <v>14000.61</v>
      </c>
      <c r="AO40" s="68">
        <v>0</v>
      </c>
      <c r="AP40" s="54">
        <f t="shared" si="8"/>
        <v>-10769.7</v>
      </c>
    </row>
    <row r="41" spans="1:42" s="3" customFormat="1" ht="18.75">
      <c r="A41" s="40">
        <v>9</v>
      </c>
      <c r="B41" s="32" t="s">
        <v>98</v>
      </c>
      <c r="C41" s="55">
        <f t="shared" si="37"/>
        <v>0</v>
      </c>
      <c r="D41" s="55">
        <f t="shared" si="38"/>
        <v>0</v>
      </c>
      <c r="E41" s="56"/>
      <c r="F41" s="55">
        <f t="shared" si="23"/>
        <v>28999</v>
      </c>
      <c r="G41" s="55">
        <f t="shared" si="39"/>
        <v>8699.699999999999</v>
      </c>
      <c r="H41" s="57">
        <f t="shared" si="29"/>
        <v>37698.7</v>
      </c>
      <c r="I41" s="55">
        <f t="shared" si="27"/>
        <v>0</v>
      </c>
      <c r="J41" s="54">
        <f t="shared" si="1"/>
        <v>-28999</v>
      </c>
      <c r="K41" s="44"/>
      <c r="L41" s="44"/>
      <c r="M41" s="49" t="e">
        <f t="shared" si="40"/>
        <v>#DIV/0!</v>
      </c>
      <c r="N41" s="52">
        <v>7227.5</v>
      </c>
      <c r="O41" s="52">
        <f t="shared" si="44"/>
        <v>2168.25</v>
      </c>
      <c r="P41" s="50">
        <f t="shared" si="16"/>
        <v>9395.75</v>
      </c>
      <c r="Q41" s="68">
        <v>0</v>
      </c>
      <c r="R41" s="54">
        <f t="shared" si="3"/>
        <v>-7227.5</v>
      </c>
      <c r="S41" s="44"/>
      <c r="T41" s="44"/>
      <c r="U41" s="49" t="e">
        <f t="shared" si="41"/>
        <v>#DIV/0!</v>
      </c>
      <c r="V41" s="52">
        <v>6967.4</v>
      </c>
      <c r="W41" s="52">
        <f t="shared" si="45"/>
        <v>2090.22</v>
      </c>
      <c r="X41" s="46">
        <f t="shared" si="32"/>
        <v>9057.619999999999</v>
      </c>
      <c r="Y41" s="68">
        <v>0</v>
      </c>
      <c r="Z41" s="54">
        <f t="shared" si="5"/>
        <v>-6967.4</v>
      </c>
      <c r="AA41" s="44"/>
      <c r="AB41" s="44"/>
      <c r="AC41" s="49" t="e">
        <f t="shared" si="42"/>
        <v>#DIV/0!</v>
      </c>
      <c r="AD41" s="52">
        <v>7444.2</v>
      </c>
      <c r="AE41" s="52">
        <f t="shared" si="46"/>
        <v>2233.2599999999998</v>
      </c>
      <c r="AF41" s="46">
        <f t="shared" si="34"/>
        <v>9677.46</v>
      </c>
      <c r="AG41" s="68">
        <v>0</v>
      </c>
      <c r="AH41" s="54">
        <f t="shared" si="7"/>
        <v>-7444.2</v>
      </c>
      <c r="AI41" s="52"/>
      <c r="AJ41" s="52"/>
      <c r="AK41" s="49" t="e">
        <f t="shared" si="43"/>
        <v>#DIV/0!</v>
      </c>
      <c r="AL41" s="52">
        <v>7359.9</v>
      </c>
      <c r="AM41" s="52">
        <f t="shared" si="47"/>
        <v>2207.97</v>
      </c>
      <c r="AN41" s="46">
        <f t="shared" si="36"/>
        <v>9567.869999999999</v>
      </c>
      <c r="AO41" s="68">
        <v>0</v>
      </c>
      <c r="AP41" s="54">
        <f t="shared" si="8"/>
        <v>-7359.9</v>
      </c>
    </row>
    <row r="42" spans="1:42" s="3" customFormat="1" ht="18.75">
      <c r="A42" s="40">
        <v>10</v>
      </c>
      <c r="B42" s="32" t="s">
        <v>99</v>
      </c>
      <c r="C42" s="55">
        <f t="shared" si="37"/>
        <v>0</v>
      </c>
      <c r="D42" s="55">
        <f t="shared" si="38"/>
        <v>0</v>
      </c>
      <c r="E42" s="56"/>
      <c r="F42" s="55">
        <f t="shared" si="23"/>
        <v>16495.8</v>
      </c>
      <c r="G42" s="55">
        <f t="shared" si="39"/>
        <v>4948.74</v>
      </c>
      <c r="H42" s="57">
        <f t="shared" si="29"/>
        <v>21444.54</v>
      </c>
      <c r="I42" s="55">
        <f t="shared" si="27"/>
        <v>0</v>
      </c>
      <c r="J42" s="54">
        <f t="shared" si="1"/>
        <v>-16495.8</v>
      </c>
      <c r="K42" s="44"/>
      <c r="L42" s="44"/>
      <c r="M42" s="49" t="e">
        <f t="shared" si="40"/>
        <v>#DIV/0!</v>
      </c>
      <c r="N42" s="52">
        <v>4337.7</v>
      </c>
      <c r="O42" s="52">
        <f t="shared" si="44"/>
        <v>1301.31</v>
      </c>
      <c r="P42" s="50">
        <f t="shared" si="16"/>
        <v>5639.01</v>
      </c>
      <c r="Q42" s="68">
        <v>0</v>
      </c>
      <c r="R42" s="54">
        <f t="shared" si="3"/>
        <v>-4337.7</v>
      </c>
      <c r="S42" s="44"/>
      <c r="T42" s="44"/>
      <c r="U42" s="49" t="e">
        <f t="shared" si="41"/>
        <v>#DIV/0!</v>
      </c>
      <c r="V42" s="52">
        <v>4055.3</v>
      </c>
      <c r="W42" s="52">
        <f t="shared" si="45"/>
        <v>1216.59</v>
      </c>
      <c r="X42" s="46">
        <f t="shared" si="32"/>
        <v>5271.89</v>
      </c>
      <c r="Y42" s="68">
        <v>0</v>
      </c>
      <c r="Z42" s="54">
        <f t="shared" si="5"/>
        <v>-4055.3</v>
      </c>
      <c r="AA42" s="44"/>
      <c r="AB42" s="44"/>
      <c r="AC42" s="49" t="e">
        <f t="shared" si="42"/>
        <v>#DIV/0!</v>
      </c>
      <c r="AD42" s="52">
        <v>4113</v>
      </c>
      <c r="AE42" s="52">
        <f t="shared" si="46"/>
        <v>1233.8999999999999</v>
      </c>
      <c r="AF42" s="46">
        <f t="shared" si="34"/>
        <v>5346.9</v>
      </c>
      <c r="AG42" s="68">
        <v>0</v>
      </c>
      <c r="AH42" s="54">
        <f t="shared" si="7"/>
        <v>-4113</v>
      </c>
      <c r="AI42" s="52"/>
      <c r="AJ42" s="52"/>
      <c r="AK42" s="49" t="e">
        <f t="shared" si="43"/>
        <v>#DIV/0!</v>
      </c>
      <c r="AL42" s="52">
        <v>3989.8</v>
      </c>
      <c r="AM42" s="52">
        <f t="shared" si="47"/>
        <v>1196.94</v>
      </c>
      <c r="AN42" s="46">
        <f t="shared" si="36"/>
        <v>5186.74</v>
      </c>
      <c r="AO42" s="68">
        <v>0</v>
      </c>
      <c r="AP42" s="54">
        <f t="shared" si="8"/>
        <v>-3989.8</v>
      </c>
    </row>
    <row r="43" spans="1:42" s="3" customFormat="1" ht="18.75">
      <c r="A43" s="40">
        <v>11</v>
      </c>
      <c r="B43" s="32" t="s">
        <v>100</v>
      </c>
      <c r="C43" s="55">
        <f t="shared" si="37"/>
        <v>0</v>
      </c>
      <c r="D43" s="55">
        <f t="shared" si="38"/>
        <v>0</v>
      </c>
      <c r="E43" s="56"/>
      <c r="F43" s="55">
        <f t="shared" si="23"/>
        <v>1575.1999999999998</v>
      </c>
      <c r="G43" s="55">
        <f t="shared" si="39"/>
        <v>472.56</v>
      </c>
      <c r="H43" s="57">
        <f t="shared" si="29"/>
        <v>2047.7599999999998</v>
      </c>
      <c r="I43" s="55">
        <f t="shared" si="27"/>
        <v>0</v>
      </c>
      <c r="J43" s="54">
        <f t="shared" si="1"/>
        <v>-1575.1999999999998</v>
      </c>
      <c r="K43" s="44"/>
      <c r="L43" s="44"/>
      <c r="M43" s="49" t="e">
        <f t="shared" si="40"/>
        <v>#DIV/0!</v>
      </c>
      <c r="N43" s="52">
        <v>387.4</v>
      </c>
      <c r="O43" s="52">
        <f t="shared" si="44"/>
        <v>116.21999999999998</v>
      </c>
      <c r="P43" s="50">
        <f t="shared" si="16"/>
        <v>503.61999999999995</v>
      </c>
      <c r="Q43" s="68">
        <v>0</v>
      </c>
      <c r="R43" s="54">
        <f t="shared" si="3"/>
        <v>-387.4</v>
      </c>
      <c r="S43" s="44"/>
      <c r="T43" s="44"/>
      <c r="U43" s="49" t="e">
        <f t="shared" si="41"/>
        <v>#DIV/0!</v>
      </c>
      <c r="V43" s="52">
        <v>381.3</v>
      </c>
      <c r="W43" s="52">
        <f t="shared" si="45"/>
        <v>114.39</v>
      </c>
      <c r="X43" s="46">
        <f t="shared" si="32"/>
        <v>495.69</v>
      </c>
      <c r="Y43" s="68">
        <v>0</v>
      </c>
      <c r="Z43" s="54">
        <f t="shared" si="5"/>
        <v>-381.3</v>
      </c>
      <c r="AA43" s="44"/>
      <c r="AB43" s="44"/>
      <c r="AC43" s="49" t="e">
        <f t="shared" si="42"/>
        <v>#DIV/0!</v>
      </c>
      <c r="AD43" s="52">
        <v>403.4</v>
      </c>
      <c r="AE43" s="52">
        <f t="shared" si="46"/>
        <v>121.01999999999998</v>
      </c>
      <c r="AF43" s="46">
        <f t="shared" si="34"/>
        <v>524.42</v>
      </c>
      <c r="AG43" s="68">
        <v>0</v>
      </c>
      <c r="AH43" s="54">
        <f t="shared" si="7"/>
        <v>-403.4</v>
      </c>
      <c r="AI43" s="52"/>
      <c r="AJ43" s="52"/>
      <c r="AK43" s="49" t="e">
        <f t="shared" si="43"/>
        <v>#DIV/0!</v>
      </c>
      <c r="AL43" s="52">
        <v>403.1</v>
      </c>
      <c r="AM43" s="52">
        <f t="shared" si="47"/>
        <v>120.93</v>
      </c>
      <c r="AN43" s="46">
        <f t="shared" si="36"/>
        <v>524.03</v>
      </c>
      <c r="AO43" s="68">
        <v>0</v>
      </c>
      <c r="AP43" s="54">
        <f t="shared" si="8"/>
        <v>-403.1</v>
      </c>
    </row>
    <row r="44" spans="1:42" s="3" customFormat="1" ht="18.75">
      <c r="A44" s="40">
        <v>12</v>
      </c>
      <c r="B44" s="32" t="s">
        <v>101</v>
      </c>
      <c r="C44" s="55">
        <f t="shared" si="37"/>
        <v>0</v>
      </c>
      <c r="D44" s="55">
        <f t="shared" si="38"/>
        <v>0</v>
      </c>
      <c r="E44" s="56"/>
      <c r="F44" s="55">
        <f t="shared" si="23"/>
        <v>1202.5</v>
      </c>
      <c r="G44" s="55">
        <f t="shared" si="39"/>
        <v>360.74999999999994</v>
      </c>
      <c r="H44" s="57">
        <f t="shared" si="29"/>
        <v>1563.25</v>
      </c>
      <c r="I44" s="55">
        <f t="shared" si="27"/>
        <v>0</v>
      </c>
      <c r="J44" s="54">
        <f t="shared" si="1"/>
        <v>-1202.5</v>
      </c>
      <c r="K44" s="44"/>
      <c r="L44" s="44"/>
      <c r="M44" s="49" t="e">
        <f t="shared" si="40"/>
        <v>#DIV/0!</v>
      </c>
      <c r="N44" s="52">
        <v>300.5</v>
      </c>
      <c r="O44" s="52">
        <f t="shared" si="44"/>
        <v>90.14999999999999</v>
      </c>
      <c r="P44" s="50">
        <f t="shared" si="16"/>
        <v>390.65</v>
      </c>
      <c r="Q44" s="68">
        <v>0</v>
      </c>
      <c r="R44" s="54">
        <f t="shared" si="3"/>
        <v>-300.5</v>
      </c>
      <c r="S44" s="44"/>
      <c r="T44" s="44"/>
      <c r="U44" s="49" t="e">
        <f t="shared" si="41"/>
        <v>#DIV/0!</v>
      </c>
      <c r="V44" s="52">
        <v>300.5</v>
      </c>
      <c r="W44" s="52">
        <f t="shared" si="45"/>
        <v>90.14999999999999</v>
      </c>
      <c r="X44" s="46">
        <f t="shared" si="32"/>
        <v>390.65</v>
      </c>
      <c r="Y44" s="68">
        <v>0</v>
      </c>
      <c r="Z44" s="54">
        <f t="shared" si="5"/>
        <v>-300.5</v>
      </c>
      <c r="AA44" s="44"/>
      <c r="AB44" s="44"/>
      <c r="AC44" s="49" t="e">
        <f t="shared" si="42"/>
        <v>#DIV/0!</v>
      </c>
      <c r="AD44" s="52">
        <v>301</v>
      </c>
      <c r="AE44" s="52">
        <f t="shared" si="46"/>
        <v>90.3</v>
      </c>
      <c r="AF44" s="46">
        <f t="shared" si="34"/>
        <v>391.3</v>
      </c>
      <c r="AG44" s="68">
        <v>0</v>
      </c>
      <c r="AH44" s="54">
        <f t="shared" si="7"/>
        <v>-301</v>
      </c>
      <c r="AI44" s="52"/>
      <c r="AJ44" s="52"/>
      <c r="AK44" s="49" t="e">
        <f t="shared" si="43"/>
        <v>#DIV/0!</v>
      </c>
      <c r="AL44" s="52">
        <v>300.5</v>
      </c>
      <c r="AM44" s="52">
        <f t="shared" si="47"/>
        <v>90.14999999999999</v>
      </c>
      <c r="AN44" s="46">
        <f t="shared" si="36"/>
        <v>390.65</v>
      </c>
      <c r="AO44" s="68">
        <v>0</v>
      </c>
      <c r="AP44" s="54">
        <f t="shared" si="8"/>
        <v>-300.5</v>
      </c>
    </row>
    <row r="45" spans="1:42" s="3" customFormat="1" ht="18.75">
      <c r="A45" s="40">
        <v>13</v>
      </c>
      <c r="B45" s="32" t="s">
        <v>67</v>
      </c>
      <c r="C45" s="55">
        <f t="shared" si="37"/>
        <v>0</v>
      </c>
      <c r="D45" s="55">
        <f t="shared" si="38"/>
        <v>0</v>
      </c>
      <c r="E45" s="56"/>
      <c r="F45" s="55">
        <f t="shared" si="23"/>
        <v>31682.7</v>
      </c>
      <c r="G45" s="55">
        <f t="shared" si="39"/>
        <v>9504.81</v>
      </c>
      <c r="H45" s="57">
        <f t="shared" si="29"/>
        <v>41187.51</v>
      </c>
      <c r="I45" s="55">
        <f t="shared" si="27"/>
        <v>0</v>
      </c>
      <c r="J45" s="54">
        <f t="shared" si="1"/>
        <v>-31682.7</v>
      </c>
      <c r="K45" s="44"/>
      <c r="L45" s="44"/>
      <c r="M45" s="49" t="e">
        <f t="shared" si="40"/>
        <v>#DIV/0!</v>
      </c>
      <c r="N45" s="52">
        <v>7564.3</v>
      </c>
      <c r="O45" s="52">
        <f t="shared" si="44"/>
        <v>2269.29</v>
      </c>
      <c r="P45" s="50">
        <f t="shared" si="16"/>
        <v>9833.59</v>
      </c>
      <c r="Q45" s="68">
        <v>0</v>
      </c>
      <c r="R45" s="54">
        <f t="shared" si="3"/>
        <v>-7564.3</v>
      </c>
      <c r="S45" s="44"/>
      <c r="T45" s="44"/>
      <c r="U45" s="49" t="e">
        <f t="shared" si="41"/>
        <v>#DIV/0!</v>
      </c>
      <c r="V45" s="52">
        <v>7325.2</v>
      </c>
      <c r="W45" s="52">
        <f t="shared" si="45"/>
        <v>2197.56</v>
      </c>
      <c r="X45" s="46">
        <f t="shared" si="32"/>
        <v>9522.76</v>
      </c>
      <c r="Y45" s="68">
        <v>0</v>
      </c>
      <c r="Z45" s="54">
        <f t="shared" si="5"/>
        <v>-7325.2</v>
      </c>
      <c r="AA45" s="44"/>
      <c r="AB45" s="44"/>
      <c r="AC45" s="49" t="e">
        <f t="shared" si="42"/>
        <v>#DIV/0!</v>
      </c>
      <c r="AD45" s="52">
        <v>8434.7</v>
      </c>
      <c r="AE45" s="52">
        <f t="shared" si="46"/>
        <v>2530.4100000000003</v>
      </c>
      <c r="AF45" s="46">
        <f t="shared" si="34"/>
        <v>10965.11</v>
      </c>
      <c r="AG45" s="68">
        <v>0</v>
      </c>
      <c r="AH45" s="54">
        <f t="shared" si="7"/>
        <v>-8434.7</v>
      </c>
      <c r="AI45" s="52"/>
      <c r="AJ45" s="52"/>
      <c r="AK45" s="49" t="e">
        <f t="shared" si="43"/>
        <v>#DIV/0!</v>
      </c>
      <c r="AL45" s="52">
        <v>8358.5</v>
      </c>
      <c r="AM45" s="52">
        <f t="shared" si="47"/>
        <v>2507.5499999999997</v>
      </c>
      <c r="AN45" s="46">
        <f t="shared" si="36"/>
        <v>10866.05</v>
      </c>
      <c r="AO45" s="68">
        <v>0</v>
      </c>
      <c r="AP45" s="54">
        <f t="shared" si="8"/>
        <v>-8358.5</v>
      </c>
    </row>
    <row r="46" spans="1:42" s="3" customFormat="1" ht="37.5">
      <c r="A46" s="40">
        <v>14</v>
      </c>
      <c r="B46" s="32" t="s">
        <v>102</v>
      </c>
      <c r="C46" s="55">
        <f t="shared" si="37"/>
        <v>0</v>
      </c>
      <c r="D46" s="55">
        <f t="shared" si="38"/>
        <v>0</v>
      </c>
      <c r="E46" s="56"/>
      <c r="F46" s="55">
        <f t="shared" si="23"/>
        <v>534</v>
      </c>
      <c r="G46" s="55">
        <f t="shared" si="39"/>
        <v>160.2</v>
      </c>
      <c r="H46" s="57">
        <f t="shared" si="29"/>
        <v>694.2</v>
      </c>
      <c r="I46" s="55">
        <f t="shared" si="27"/>
        <v>0</v>
      </c>
      <c r="J46" s="54">
        <f t="shared" si="1"/>
        <v>-534</v>
      </c>
      <c r="K46" s="44"/>
      <c r="L46" s="44"/>
      <c r="M46" s="49" t="e">
        <f t="shared" si="40"/>
        <v>#DIV/0!</v>
      </c>
      <c r="N46" s="52">
        <v>133.5</v>
      </c>
      <c r="O46" s="52">
        <f t="shared" si="44"/>
        <v>40.05</v>
      </c>
      <c r="P46" s="50">
        <f t="shared" si="16"/>
        <v>173.55</v>
      </c>
      <c r="Q46" s="68">
        <v>0</v>
      </c>
      <c r="R46" s="54">
        <f t="shared" si="3"/>
        <v>-133.5</v>
      </c>
      <c r="S46" s="44"/>
      <c r="T46" s="44"/>
      <c r="U46" s="49" t="e">
        <f t="shared" si="41"/>
        <v>#DIV/0!</v>
      </c>
      <c r="V46" s="52">
        <v>133.5</v>
      </c>
      <c r="W46" s="52">
        <f t="shared" si="45"/>
        <v>40.05</v>
      </c>
      <c r="X46" s="46">
        <f t="shared" si="32"/>
        <v>173.55</v>
      </c>
      <c r="Y46" s="68">
        <v>0</v>
      </c>
      <c r="Z46" s="54">
        <f t="shared" si="5"/>
        <v>-133.5</v>
      </c>
      <c r="AA46" s="44"/>
      <c r="AB46" s="44"/>
      <c r="AC46" s="49" t="e">
        <f t="shared" si="42"/>
        <v>#DIV/0!</v>
      </c>
      <c r="AD46" s="52">
        <v>133.5</v>
      </c>
      <c r="AE46" s="52">
        <f t="shared" si="46"/>
        <v>40.05</v>
      </c>
      <c r="AF46" s="46">
        <f t="shared" si="34"/>
        <v>173.55</v>
      </c>
      <c r="AG46" s="68">
        <v>0</v>
      </c>
      <c r="AH46" s="54">
        <f t="shared" si="7"/>
        <v>-133.5</v>
      </c>
      <c r="AI46" s="52"/>
      <c r="AJ46" s="52"/>
      <c r="AK46" s="49" t="e">
        <f t="shared" si="43"/>
        <v>#DIV/0!</v>
      </c>
      <c r="AL46" s="52">
        <v>133.5</v>
      </c>
      <c r="AM46" s="52">
        <f t="shared" si="47"/>
        <v>40.05</v>
      </c>
      <c r="AN46" s="46">
        <f t="shared" si="36"/>
        <v>173.55</v>
      </c>
      <c r="AO46" s="68">
        <v>0</v>
      </c>
      <c r="AP46" s="54">
        <f t="shared" si="8"/>
        <v>-133.5</v>
      </c>
    </row>
    <row r="47" spans="1:42" s="3" customFormat="1" ht="18.75">
      <c r="A47" s="40">
        <v>15</v>
      </c>
      <c r="B47" s="32" t="s">
        <v>103</v>
      </c>
      <c r="C47" s="55">
        <f t="shared" si="37"/>
        <v>0</v>
      </c>
      <c r="D47" s="55">
        <f t="shared" si="38"/>
        <v>0</v>
      </c>
      <c r="E47" s="56"/>
      <c r="F47" s="55">
        <f t="shared" si="23"/>
        <v>533.6</v>
      </c>
      <c r="G47" s="55">
        <f t="shared" si="39"/>
        <v>160.08</v>
      </c>
      <c r="H47" s="57">
        <f t="shared" si="29"/>
        <v>693.6800000000001</v>
      </c>
      <c r="I47" s="55">
        <f t="shared" si="27"/>
        <v>0</v>
      </c>
      <c r="J47" s="54">
        <f t="shared" si="1"/>
        <v>-533.6</v>
      </c>
      <c r="K47" s="44"/>
      <c r="L47" s="44"/>
      <c r="M47" s="49" t="e">
        <f t="shared" si="40"/>
        <v>#DIV/0!</v>
      </c>
      <c r="N47" s="60">
        <v>133.4</v>
      </c>
      <c r="O47" s="52">
        <f t="shared" si="44"/>
        <v>40.02</v>
      </c>
      <c r="P47" s="50">
        <f t="shared" si="16"/>
        <v>173.42000000000002</v>
      </c>
      <c r="Q47" s="68">
        <v>0</v>
      </c>
      <c r="R47" s="54">
        <f t="shared" si="3"/>
        <v>-133.4</v>
      </c>
      <c r="S47" s="44"/>
      <c r="T47" s="44"/>
      <c r="U47" s="49" t="e">
        <f t="shared" si="41"/>
        <v>#DIV/0!</v>
      </c>
      <c r="V47" s="60">
        <v>133.4</v>
      </c>
      <c r="W47" s="52">
        <f t="shared" si="45"/>
        <v>40.02</v>
      </c>
      <c r="X47" s="46">
        <f t="shared" si="32"/>
        <v>173.42000000000002</v>
      </c>
      <c r="Y47" s="68">
        <v>0</v>
      </c>
      <c r="Z47" s="54">
        <f t="shared" si="5"/>
        <v>-133.4</v>
      </c>
      <c r="AA47" s="44"/>
      <c r="AB47" s="44"/>
      <c r="AC47" s="49" t="e">
        <f t="shared" si="42"/>
        <v>#DIV/0!</v>
      </c>
      <c r="AD47" s="60">
        <v>133.4</v>
      </c>
      <c r="AE47" s="52">
        <f t="shared" si="46"/>
        <v>40.02</v>
      </c>
      <c r="AF47" s="46">
        <f t="shared" si="34"/>
        <v>173.42000000000002</v>
      </c>
      <c r="AG47" s="68">
        <v>0</v>
      </c>
      <c r="AH47" s="54">
        <f t="shared" si="7"/>
        <v>-133.4</v>
      </c>
      <c r="AI47" s="60"/>
      <c r="AJ47" s="52"/>
      <c r="AK47" s="49" t="e">
        <f t="shared" si="43"/>
        <v>#DIV/0!</v>
      </c>
      <c r="AL47" s="60">
        <v>133.4</v>
      </c>
      <c r="AM47" s="52">
        <f t="shared" si="47"/>
        <v>40.02</v>
      </c>
      <c r="AN47" s="46">
        <f t="shared" si="36"/>
        <v>173.42000000000002</v>
      </c>
      <c r="AO47" s="68">
        <v>0</v>
      </c>
      <c r="AP47" s="54">
        <f t="shared" si="8"/>
        <v>-133.4</v>
      </c>
    </row>
    <row r="48" spans="1:42" s="3" customFormat="1" ht="18.75">
      <c r="A48" s="40">
        <v>16</v>
      </c>
      <c r="B48" s="32" t="s">
        <v>104</v>
      </c>
      <c r="C48" s="55">
        <f t="shared" si="37"/>
        <v>0</v>
      </c>
      <c r="D48" s="55">
        <f t="shared" si="38"/>
        <v>0</v>
      </c>
      <c r="E48" s="56"/>
      <c r="F48" s="55">
        <f t="shared" si="23"/>
        <v>496</v>
      </c>
      <c r="G48" s="55">
        <f t="shared" si="39"/>
        <v>148.79999999999998</v>
      </c>
      <c r="H48" s="57">
        <f t="shared" si="29"/>
        <v>644.8</v>
      </c>
      <c r="I48" s="55">
        <f t="shared" si="27"/>
        <v>0</v>
      </c>
      <c r="J48" s="54">
        <f t="shared" si="1"/>
        <v>-496</v>
      </c>
      <c r="K48" s="44"/>
      <c r="L48" s="44"/>
      <c r="M48" s="49" t="e">
        <f t="shared" si="40"/>
        <v>#DIV/0!</v>
      </c>
      <c r="N48" s="60">
        <v>124</v>
      </c>
      <c r="O48" s="52">
        <f t="shared" si="44"/>
        <v>37.199999999999996</v>
      </c>
      <c r="P48" s="50">
        <f t="shared" si="16"/>
        <v>161.2</v>
      </c>
      <c r="Q48" s="68">
        <v>0</v>
      </c>
      <c r="R48" s="54">
        <f t="shared" si="3"/>
        <v>-124</v>
      </c>
      <c r="S48" s="44"/>
      <c r="T48" s="44"/>
      <c r="U48" s="49" t="e">
        <f t="shared" si="41"/>
        <v>#DIV/0!</v>
      </c>
      <c r="V48" s="60">
        <v>124</v>
      </c>
      <c r="W48" s="52">
        <f t="shared" si="45"/>
        <v>37.199999999999996</v>
      </c>
      <c r="X48" s="46">
        <f t="shared" si="32"/>
        <v>161.2</v>
      </c>
      <c r="Y48" s="68">
        <v>0</v>
      </c>
      <c r="Z48" s="54">
        <f t="shared" si="5"/>
        <v>-124</v>
      </c>
      <c r="AA48" s="44"/>
      <c r="AB48" s="44"/>
      <c r="AC48" s="49" t="e">
        <f t="shared" si="42"/>
        <v>#DIV/0!</v>
      </c>
      <c r="AD48" s="60">
        <v>124</v>
      </c>
      <c r="AE48" s="52">
        <f t="shared" si="46"/>
        <v>37.199999999999996</v>
      </c>
      <c r="AF48" s="46">
        <f t="shared" si="34"/>
        <v>161.2</v>
      </c>
      <c r="AG48" s="68">
        <v>0</v>
      </c>
      <c r="AH48" s="54">
        <f t="shared" si="7"/>
        <v>-124</v>
      </c>
      <c r="AI48" s="60"/>
      <c r="AJ48" s="52"/>
      <c r="AK48" s="49" t="e">
        <f t="shared" si="43"/>
        <v>#DIV/0!</v>
      </c>
      <c r="AL48" s="60">
        <v>124</v>
      </c>
      <c r="AM48" s="52">
        <f t="shared" si="47"/>
        <v>37.199999999999996</v>
      </c>
      <c r="AN48" s="46">
        <f t="shared" si="36"/>
        <v>161.2</v>
      </c>
      <c r="AO48" s="68">
        <v>0</v>
      </c>
      <c r="AP48" s="54">
        <f t="shared" si="8"/>
        <v>-124</v>
      </c>
    </row>
    <row r="49" spans="1:42" ht="24" customHeight="1">
      <c r="A49" s="41" t="s">
        <v>2</v>
      </c>
      <c r="B49" s="38" t="s">
        <v>75</v>
      </c>
      <c r="C49" s="49">
        <f t="shared" si="37"/>
        <v>0</v>
      </c>
      <c r="D49" s="49">
        <f t="shared" si="38"/>
        <v>0</v>
      </c>
      <c r="E49" s="49"/>
      <c r="F49" s="49">
        <f t="shared" si="23"/>
        <v>154827</v>
      </c>
      <c r="G49" s="49">
        <f t="shared" si="39"/>
        <v>46448.1</v>
      </c>
      <c r="H49" s="58">
        <f>SUM(F49:G49)</f>
        <v>201275.1</v>
      </c>
      <c r="I49" s="49">
        <f>Q49+Y49+AG49+AO49</f>
        <v>0</v>
      </c>
      <c r="J49" s="54">
        <f t="shared" si="1"/>
        <v>-154827</v>
      </c>
      <c r="K49" s="51">
        <v>0</v>
      </c>
      <c r="L49" s="51">
        <v>0</v>
      </c>
      <c r="M49" s="51" t="e">
        <f t="shared" si="40"/>
        <v>#DIV/0!</v>
      </c>
      <c r="N49" s="51">
        <v>39980.4</v>
      </c>
      <c r="O49" s="51">
        <f>(N49/100)*30</f>
        <v>11994.12</v>
      </c>
      <c r="P49" s="51">
        <f>SUM(N49:O49)</f>
        <v>51974.520000000004</v>
      </c>
      <c r="Q49" s="49">
        <v>0</v>
      </c>
      <c r="R49" s="54">
        <f t="shared" si="3"/>
        <v>-39980.4</v>
      </c>
      <c r="S49" s="51">
        <v>0</v>
      </c>
      <c r="T49" s="51">
        <v>0</v>
      </c>
      <c r="U49" s="51">
        <v>0</v>
      </c>
      <c r="V49" s="51">
        <v>35270.2</v>
      </c>
      <c r="W49" s="51">
        <f>(V49/100)*30</f>
        <v>10581.06</v>
      </c>
      <c r="X49" s="51">
        <f>SUM(V49:W49)</f>
        <v>45851.259999999995</v>
      </c>
      <c r="Y49" s="49">
        <v>0</v>
      </c>
      <c r="Z49" s="54">
        <f t="shared" si="5"/>
        <v>-35270.2</v>
      </c>
      <c r="AA49" s="51">
        <v>0</v>
      </c>
      <c r="AB49" s="51">
        <v>0</v>
      </c>
      <c r="AC49" s="51">
        <v>0</v>
      </c>
      <c r="AD49" s="51">
        <v>40637.2</v>
      </c>
      <c r="AE49" s="51">
        <f>(AD49/100)*30</f>
        <v>12191.159999999998</v>
      </c>
      <c r="AF49" s="51">
        <f>SUM(AD49:AE49)</f>
        <v>52828.35999999999</v>
      </c>
      <c r="AG49" s="49">
        <v>0</v>
      </c>
      <c r="AH49" s="54">
        <f t="shared" si="7"/>
        <v>-40637.2</v>
      </c>
      <c r="AI49" s="51">
        <v>0</v>
      </c>
      <c r="AJ49" s="51">
        <v>0</v>
      </c>
      <c r="AK49" s="51">
        <v>0</v>
      </c>
      <c r="AL49" s="51">
        <v>38939.2</v>
      </c>
      <c r="AM49" s="51">
        <f>(AL49/100)*30</f>
        <v>11681.76</v>
      </c>
      <c r="AN49" s="51">
        <f>SUM(AL49:AM49)</f>
        <v>50620.96</v>
      </c>
      <c r="AO49" s="49">
        <v>0</v>
      </c>
      <c r="AP49" s="54">
        <f t="shared" si="8"/>
        <v>-38939.2</v>
      </c>
    </row>
    <row r="50" spans="1:42" ht="31.5">
      <c r="A50" s="41" t="s">
        <v>3</v>
      </c>
      <c r="B50" s="38" t="s">
        <v>77</v>
      </c>
      <c r="C50" s="49">
        <f t="shared" si="37"/>
        <v>411.4</v>
      </c>
      <c r="D50" s="49">
        <f t="shared" si="38"/>
        <v>431.97</v>
      </c>
      <c r="E50" s="49">
        <f>D50/C50*100</f>
        <v>105</v>
      </c>
      <c r="F50" s="49">
        <f t="shared" si="23"/>
        <v>705005.2370370362</v>
      </c>
      <c r="G50" s="49">
        <f t="shared" si="39"/>
        <v>211501.57111111085</v>
      </c>
      <c r="H50" s="58">
        <f>SUM(F50:G50)</f>
        <v>916506.8081481471</v>
      </c>
      <c r="I50" s="49">
        <f>Q50+Y50+AG50+AO50</f>
        <v>792487.5562222223</v>
      </c>
      <c r="J50" s="54">
        <f t="shared" si="1"/>
        <v>87482.31918518606</v>
      </c>
      <c r="K50" s="51">
        <v>80</v>
      </c>
      <c r="L50" s="51">
        <v>84</v>
      </c>
      <c r="M50" s="51">
        <v>105</v>
      </c>
      <c r="N50" s="51">
        <f>219553.059259259-60350</f>
        <v>159203.059259259</v>
      </c>
      <c r="O50" s="51">
        <f>N50*0.3</f>
        <v>47760.9177777777</v>
      </c>
      <c r="P50" s="51">
        <f>SUM(N50:O50)</f>
        <v>206963.9770370367</v>
      </c>
      <c r="Q50" s="49">
        <v>178146</v>
      </c>
      <c r="R50" s="54">
        <f t="shared" si="3"/>
        <v>18942.940740741004</v>
      </c>
      <c r="S50" s="51">
        <v>90.5</v>
      </c>
      <c r="T50" s="51">
        <v>95.025</v>
      </c>
      <c r="U50" s="51">
        <v>105</v>
      </c>
      <c r="V50" s="51">
        <f>221618.059259259-67450</f>
        <v>154168.059259259</v>
      </c>
      <c r="W50" s="51">
        <f>V50*0.3</f>
        <v>46250.4177777777</v>
      </c>
      <c r="X50" s="51">
        <f>SUM(V50:W50)</f>
        <v>200418.4770370367</v>
      </c>
      <c r="Y50" s="49">
        <v>192807.71155555555</v>
      </c>
      <c r="Z50" s="54">
        <f t="shared" si="5"/>
        <v>38639.652296296554</v>
      </c>
      <c r="AA50" s="51">
        <v>102.7</v>
      </c>
      <c r="AB50" s="51">
        <v>107.83500000000001</v>
      </c>
      <c r="AC50" s="51">
        <v>105</v>
      </c>
      <c r="AD50" s="51">
        <f>239808.059259259-78100</f>
        <v>161708.059259259</v>
      </c>
      <c r="AE50" s="51">
        <f>AD50*0.3</f>
        <v>48512.4177777777</v>
      </c>
      <c r="AF50" s="51">
        <f>SUM(AD50:AE50)</f>
        <v>210220.4770370367</v>
      </c>
      <c r="AG50" s="49">
        <v>208633.01155555557</v>
      </c>
      <c r="AH50" s="54">
        <f t="shared" si="7"/>
        <v>46924.95229629657</v>
      </c>
      <c r="AI50" s="51">
        <v>138.2</v>
      </c>
      <c r="AJ50" s="51">
        <v>145.10999999999999</v>
      </c>
      <c r="AK50" s="51">
        <v>105</v>
      </c>
      <c r="AL50" s="51">
        <v>229926.05925925926</v>
      </c>
      <c r="AM50" s="51">
        <f>AL50*0.3</f>
        <v>68977.81777777777</v>
      </c>
      <c r="AN50" s="51">
        <f>SUM(AL50:AM50)</f>
        <v>298903.87703703705</v>
      </c>
      <c r="AO50" s="49">
        <v>212900.8331111111</v>
      </c>
      <c r="AP50" s="54">
        <f t="shared" si="8"/>
        <v>-17025.226148148155</v>
      </c>
    </row>
    <row r="51" spans="1:42" ht="22.5" customHeight="1">
      <c r="A51" s="41" t="s">
        <v>29</v>
      </c>
      <c r="B51" s="39" t="s">
        <v>61</v>
      </c>
      <c r="C51" s="49">
        <f t="shared" si="37"/>
        <v>77.2</v>
      </c>
      <c r="D51" s="49">
        <f t="shared" si="38"/>
        <v>48.3</v>
      </c>
      <c r="E51" s="49">
        <f>D51/C51*100</f>
        <v>62.56476683937823</v>
      </c>
      <c r="F51" s="49">
        <f t="shared" si="23"/>
        <v>32740.700000000004</v>
      </c>
      <c r="G51" s="49">
        <f t="shared" si="39"/>
        <v>10149.5</v>
      </c>
      <c r="H51" s="58">
        <f>SUM(F51:G51)</f>
        <v>42890.200000000004</v>
      </c>
      <c r="I51" s="49">
        <f>Q51+Y51+AG51+AO51</f>
        <v>0</v>
      </c>
      <c r="J51" s="54">
        <f t="shared" si="1"/>
        <v>-32740.700000000004</v>
      </c>
      <c r="K51" s="51">
        <v>18</v>
      </c>
      <c r="L51" s="51">
        <v>12.3</v>
      </c>
      <c r="M51" s="51">
        <f>L51/K51*100</f>
        <v>68.33333333333333</v>
      </c>
      <c r="N51" s="51">
        <v>7605.300000000001</v>
      </c>
      <c r="O51" s="51">
        <f>ROUND(N51*0.31,1)</f>
        <v>2357.6</v>
      </c>
      <c r="P51" s="51">
        <f>SUM(N51:O51)</f>
        <v>9962.900000000001</v>
      </c>
      <c r="Q51" s="49">
        <v>0</v>
      </c>
      <c r="R51" s="54">
        <f t="shared" si="3"/>
        <v>-7605.300000000001</v>
      </c>
      <c r="S51" s="51">
        <v>18</v>
      </c>
      <c r="T51" s="51">
        <v>12</v>
      </c>
      <c r="U51" s="51">
        <f t="shared" si="41"/>
        <v>66.66666666666666</v>
      </c>
      <c r="V51" s="51">
        <v>6845.600000000001</v>
      </c>
      <c r="W51" s="51">
        <f>ROUND(V51*0.31,1)</f>
        <v>2122.1</v>
      </c>
      <c r="X51" s="51">
        <f>SUM(V51:W51)</f>
        <v>8967.7</v>
      </c>
      <c r="Y51" s="49">
        <v>0</v>
      </c>
      <c r="Z51" s="54">
        <f t="shared" si="5"/>
        <v>-6845.600000000001</v>
      </c>
      <c r="AA51" s="51">
        <v>24.2</v>
      </c>
      <c r="AB51" s="51">
        <v>12</v>
      </c>
      <c r="AC51" s="51">
        <f t="shared" si="42"/>
        <v>49.586776859504134</v>
      </c>
      <c r="AD51" s="51">
        <v>7440.300000000001</v>
      </c>
      <c r="AE51" s="51">
        <f>ROUND(AD51*0.31,1)</f>
        <v>2306.5</v>
      </c>
      <c r="AF51" s="51">
        <f>SUM(AD51:AE51)</f>
        <v>9746.800000000001</v>
      </c>
      <c r="AG51" s="49">
        <v>0</v>
      </c>
      <c r="AH51" s="54">
        <f t="shared" si="7"/>
        <v>-7440.300000000001</v>
      </c>
      <c r="AI51" s="51">
        <v>17</v>
      </c>
      <c r="AJ51" s="51">
        <v>12</v>
      </c>
      <c r="AK51" s="51">
        <f t="shared" si="43"/>
        <v>70.58823529411765</v>
      </c>
      <c r="AL51" s="51">
        <v>10849.5</v>
      </c>
      <c r="AM51" s="51">
        <f>ROUND(AL51*0.31,1)</f>
        <v>3363.3</v>
      </c>
      <c r="AN51" s="51">
        <f>SUM(AL51:AM51)</f>
        <v>14212.8</v>
      </c>
      <c r="AO51" s="49">
        <v>0</v>
      </c>
      <c r="AP51" s="54">
        <f t="shared" si="8"/>
        <v>-10849.5</v>
      </c>
    </row>
    <row r="52" spans="1:42" ht="18.75">
      <c r="A52" s="41" t="s">
        <v>30</v>
      </c>
      <c r="B52" s="39" t="s">
        <v>62</v>
      </c>
      <c r="C52" s="49">
        <f t="shared" si="37"/>
        <v>9548</v>
      </c>
      <c r="D52" s="49">
        <f t="shared" si="38"/>
        <v>2391.5</v>
      </c>
      <c r="E52" s="49">
        <f>D52/C52*100</f>
        <v>25.047130289065773</v>
      </c>
      <c r="F52" s="49">
        <f t="shared" si="23"/>
        <v>57934</v>
      </c>
      <c r="G52" s="49">
        <f t="shared" si="39"/>
        <v>17365.736999999997</v>
      </c>
      <c r="H52" s="58">
        <f>SUM(F52:G52)</f>
        <v>75299.737</v>
      </c>
      <c r="I52" s="49">
        <f>Q52+Y52+AG52+AO52</f>
        <v>16903.2</v>
      </c>
      <c r="J52" s="54">
        <f t="shared" si="1"/>
        <v>-41030.8</v>
      </c>
      <c r="K52" s="51">
        <v>2387</v>
      </c>
      <c r="L52" s="51">
        <v>450.3</v>
      </c>
      <c r="M52" s="51">
        <f t="shared" si="40"/>
        <v>18.864683703393382</v>
      </c>
      <c r="N52" s="51">
        <v>14724</v>
      </c>
      <c r="O52" s="51">
        <f>N52*30%</f>
        <v>4417.2</v>
      </c>
      <c r="P52" s="51">
        <f>SUM(N52:O52)</f>
        <v>19141.2</v>
      </c>
      <c r="Q52" s="49">
        <v>3145.5</v>
      </c>
      <c r="R52" s="54">
        <f t="shared" si="3"/>
        <v>-11578.5</v>
      </c>
      <c r="S52" s="51">
        <v>2387</v>
      </c>
      <c r="T52" s="51">
        <v>556.7</v>
      </c>
      <c r="U52" s="51">
        <f t="shared" si="41"/>
        <v>23.322161709258484</v>
      </c>
      <c r="V52" s="51">
        <v>14463</v>
      </c>
      <c r="W52" s="51">
        <f>V52*29.9%</f>
        <v>4324.437</v>
      </c>
      <c r="X52" s="51">
        <f>SUM(V52:W52)</f>
        <v>18787.436999999998</v>
      </c>
      <c r="Y52" s="49">
        <v>3992</v>
      </c>
      <c r="Z52" s="54">
        <f t="shared" si="5"/>
        <v>-10471</v>
      </c>
      <c r="AA52" s="51">
        <v>2387</v>
      </c>
      <c r="AB52" s="51">
        <v>668.4</v>
      </c>
      <c r="AC52" s="51">
        <f t="shared" si="42"/>
        <v>28.001675743611226</v>
      </c>
      <c r="AD52" s="51">
        <v>14730</v>
      </c>
      <c r="AE52" s="51">
        <f>AD52*30%</f>
        <v>4419</v>
      </c>
      <c r="AF52" s="51">
        <f>SUM(AD52:AE52)</f>
        <v>19149</v>
      </c>
      <c r="AG52" s="49">
        <v>4901.9</v>
      </c>
      <c r="AH52" s="54">
        <f t="shared" si="7"/>
        <v>-9828.1</v>
      </c>
      <c r="AI52" s="51">
        <v>2387</v>
      </c>
      <c r="AJ52" s="51">
        <v>716.1</v>
      </c>
      <c r="AK52" s="51">
        <f t="shared" si="43"/>
        <v>30</v>
      </c>
      <c r="AL52" s="51">
        <v>14017</v>
      </c>
      <c r="AM52" s="51">
        <f>AL52*30%</f>
        <v>4205.099999999999</v>
      </c>
      <c r="AN52" s="51">
        <f>SUM(AL52:AM52)</f>
        <v>18222.1</v>
      </c>
      <c r="AO52" s="49">
        <v>4863.8</v>
      </c>
      <c r="AP52" s="54">
        <f t="shared" si="8"/>
        <v>-9153.2</v>
      </c>
    </row>
    <row r="54" spans="3:13" ht="20.25">
      <c r="C54" s="73" t="s">
        <v>111</v>
      </c>
      <c r="D54" s="74" t="s">
        <v>112</v>
      </c>
      <c r="E54" s="74"/>
      <c r="F54" s="75"/>
      <c r="G54" s="75"/>
      <c r="H54" s="75"/>
      <c r="I54" s="74"/>
      <c r="J54" s="74"/>
      <c r="K54" s="74"/>
      <c r="L54" s="74"/>
      <c r="M54" s="76"/>
    </row>
    <row r="55" spans="3:13" ht="20.25">
      <c r="C55" s="73"/>
      <c r="D55" s="74" t="s">
        <v>113</v>
      </c>
      <c r="E55" s="74"/>
      <c r="F55" s="75"/>
      <c r="G55" s="75"/>
      <c r="H55" s="75"/>
      <c r="I55" s="74"/>
      <c r="J55" s="74"/>
      <c r="K55" s="74"/>
      <c r="L55" s="74"/>
      <c r="M55" s="76"/>
    </row>
    <row r="56" spans="3:5" ht="16.5" customHeight="1">
      <c r="C56" s="1"/>
      <c r="D56" s="74" t="s">
        <v>115</v>
      </c>
      <c r="E56" s="74"/>
    </row>
    <row r="57" ht="26.25" customHeight="1">
      <c r="D57" s="74" t="s">
        <v>114</v>
      </c>
    </row>
  </sheetData>
  <sheetProtection/>
  <mergeCells count="37">
    <mergeCell ref="AD6:AD7"/>
    <mergeCell ref="AA6:AC6"/>
    <mergeCell ref="W6:W7"/>
    <mergeCell ref="AE6:AE7"/>
    <mergeCell ref="Z6:Z7"/>
    <mergeCell ref="X6:X7"/>
    <mergeCell ref="AH6:AH7"/>
    <mergeCell ref="AG6:AG7"/>
    <mergeCell ref="AO6:AO7"/>
    <mergeCell ref="AI6:AK6"/>
    <mergeCell ref="AL6:AL7"/>
    <mergeCell ref="AF6:AF7"/>
    <mergeCell ref="A5:A7"/>
    <mergeCell ref="B5:B7"/>
    <mergeCell ref="C5:I5"/>
    <mergeCell ref="P6:P7"/>
    <mergeCell ref="C6:E6"/>
    <mergeCell ref="J6:J7"/>
    <mergeCell ref="K5:R5"/>
    <mergeCell ref="R6:R7"/>
    <mergeCell ref="S5:Z5"/>
    <mergeCell ref="Q6:Q7"/>
    <mergeCell ref="Y6:Y7"/>
    <mergeCell ref="N6:N7"/>
    <mergeCell ref="O6:O7"/>
    <mergeCell ref="AI5:AP5"/>
    <mergeCell ref="AN6:AN7"/>
    <mergeCell ref="AA5:AH5"/>
    <mergeCell ref="AP6:AP7"/>
    <mergeCell ref="AM6:AM7"/>
    <mergeCell ref="S6:U6"/>
    <mergeCell ref="V6:V7"/>
    <mergeCell ref="K6:M6"/>
    <mergeCell ref="F6:F7"/>
    <mergeCell ref="G6:G7"/>
    <mergeCell ref="H6:H7"/>
    <mergeCell ref="I6:I7"/>
  </mergeCells>
  <printOptions horizontalCentered="1"/>
  <pageMargins left="0" right="0" top="1.1811023622047245" bottom="0" header="0.5118110236220472" footer="0.5118110236220472"/>
  <pageSetup blackAndWhite="1" horizontalDpi="600" verticalDpi="600" orientation="landscape" paperSize="9" scale="58" r:id="rId1"/>
  <colBreaks count="2" manualBreakCount="2">
    <brk id="10" max="53" man="1"/>
    <brk id="26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J57"/>
  <sheetViews>
    <sheetView zoomScale="87" zoomScaleNormal="87" zoomScaleSheetLayoutView="70" zoomScalePageLayoutView="0" workbookViewId="0" topLeftCell="A1">
      <selection activeCell="P3" sqref="P3"/>
    </sheetView>
  </sheetViews>
  <sheetFormatPr defaultColWidth="9.8515625" defaultRowHeight="15"/>
  <cols>
    <col min="1" max="1" width="7.00390625" style="1" customWidth="1"/>
    <col min="2" max="2" width="44.7109375" style="2" customWidth="1"/>
    <col min="3" max="3" width="13.57421875" style="2" customWidth="1"/>
    <col min="4" max="4" width="13.7109375" style="2" customWidth="1"/>
    <col min="5" max="5" width="11.28125" style="2" customWidth="1"/>
    <col min="6" max="6" width="15.421875" style="1" customWidth="1"/>
    <col min="7" max="7" width="11.00390625" style="1" customWidth="1"/>
    <col min="8" max="8" width="14.140625" style="1" customWidth="1"/>
    <col min="9" max="10" width="17.28125" style="2" customWidth="1"/>
    <col min="11" max="12" width="8.7109375" style="2" customWidth="1"/>
    <col min="13" max="13" width="10.28125" style="2" customWidth="1"/>
    <col min="14" max="14" width="13.7109375" style="2" customWidth="1"/>
    <col min="15" max="15" width="10.57421875" style="2" customWidth="1"/>
    <col min="16" max="16" width="11.7109375" style="2" customWidth="1"/>
    <col min="17" max="18" width="18.28125" style="2" customWidth="1"/>
    <col min="19" max="20" width="8.7109375" style="2" customWidth="1"/>
    <col min="21" max="21" width="10.28125" style="2" customWidth="1"/>
    <col min="22" max="22" width="13.7109375" style="2" customWidth="1"/>
    <col min="23" max="23" width="10.57421875" style="2" customWidth="1"/>
    <col min="24" max="24" width="11.140625" style="2" customWidth="1"/>
    <col min="25" max="26" width="15.8515625" style="2" customWidth="1"/>
    <col min="27" max="29" width="8.7109375" style="2" customWidth="1"/>
    <col min="30" max="30" width="14.28125" style="2" customWidth="1"/>
    <col min="31" max="31" width="11.57421875" style="2" customWidth="1"/>
    <col min="32" max="32" width="10.57421875" style="2" customWidth="1"/>
    <col min="33" max="34" width="17.57421875" style="2" customWidth="1"/>
    <col min="35" max="35" width="10.57421875" style="2" customWidth="1"/>
    <col min="36" max="36" width="11.28125" style="2" customWidth="1"/>
    <col min="37" max="37" width="9.140625" style="2" customWidth="1"/>
    <col min="38" max="38" width="10.57421875" style="2" customWidth="1"/>
    <col min="39" max="39" width="11.421875" style="2" customWidth="1"/>
    <col min="40" max="40" width="11.00390625" style="2" customWidth="1"/>
    <col min="41" max="42" width="17.00390625" style="2" customWidth="1"/>
    <col min="43" max="50" width="8.7109375" style="2" customWidth="1"/>
    <col min="51" max="16384" width="9.8515625" style="2" customWidth="1"/>
  </cols>
  <sheetData>
    <row r="1" spans="3:10" ht="20.25" customHeight="1">
      <c r="C1" s="77"/>
      <c r="D1" s="77"/>
      <c r="E1" s="77"/>
      <c r="F1" s="4"/>
      <c r="G1" s="78" t="s">
        <v>116</v>
      </c>
      <c r="H1" s="77"/>
      <c r="I1" s="14"/>
      <c r="J1" s="14"/>
    </row>
    <row r="2" spans="3:10" ht="18.75">
      <c r="C2" s="77"/>
      <c r="D2" s="77"/>
      <c r="E2" s="77"/>
      <c r="F2" s="4"/>
      <c r="G2" s="78" t="s">
        <v>117</v>
      </c>
      <c r="H2" s="77"/>
      <c r="I2" s="14"/>
      <c r="J2" s="14"/>
    </row>
    <row r="3" spans="2:218" s="4" customFormat="1" ht="17.25" customHeight="1">
      <c r="B3" s="77"/>
      <c r="C3" s="77"/>
      <c r="D3" s="77"/>
      <c r="E3" s="77"/>
      <c r="G3" s="78" t="s">
        <v>118</v>
      </c>
      <c r="H3" s="77"/>
      <c r="I3" s="14"/>
      <c r="J3" s="14"/>
      <c r="K3" s="14"/>
      <c r="L3" s="14"/>
      <c r="M3" s="14"/>
      <c r="N3" s="14"/>
      <c r="O3" s="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</row>
    <row r="4" spans="1:218" s="4" customFormat="1" ht="18.75">
      <c r="A4" s="34" t="s">
        <v>59</v>
      </c>
      <c r="F4" s="18"/>
      <c r="G4" s="18"/>
      <c r="H4" s="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182" s="4" customFormat="1" ht="19.5" customHeight="1">
      <c r="A5" s="218"/>
      <c r="B5" s="219"/>
      <c r="C5" s="244" t="s">
        <v>53</v>
      </c>
      <c r="D5" s="259"/>
      <c r="E5" s="259"/>
      <c r="F5" s="259"/>
      <c r="G5" s="259"/>
      <c r="H5" s="259"/>
      <c r="I5" s="259"/>
      <c r="J5" s="253"/>
      <c r="K5" s="244" t="s">
        <v>37</v>
      </c>
      <c r="L5" s="259"/>
      <c r="M5" s="259"/>
      <c r="N5" s="259"/>
      <c r="O5" s="259"/>
      <c r="P5" s="259"/>
      <c r="Q5" s="259"/>
      <c r="R5" s="253"/>
      <c r="S5" s="244" t="s">
        <v>38</v>
      </c>
      <c r="T5" s="259"/>
      <c r="U5" s="259"/>
      <c r="V5" s="259"/>
      <c r="W5" s="259"/>
      <c r="X5" s="259"/>
      <c r="Y5" s="259"/>
      <c r="Z5" s="253"/>
      <c r="AA5" s="244" t="s">
        <v>39</v>
      </c>
      <c r="AB5" s="259"/>
      <c r="AC5" s="259"/>
      <c r="AD5" s="259"/>
      <c r="AE5" s="259"/>
      <c r="AF5" s="259"/>
      <c r="AG5" s="259"/>
      <c r="AH5" s="253"/>
      <c r="AI5" s="244" t="s">
        <v>40</v>
      </c>
      <c r="AJ5" s="259"/>
      <c r="AK5" s="259"/>
      <c r="AL5" s="259"/>
      <c r="AM5" s="259"/>
      <c r="AN5" s="259"/>
      <c r="AO5" s="259"/>
      <c r="AP5" s="25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</row>
    <row r="6" spans="1:182" s="4" customFormat="1" ht="62.25" customHeight="1">
      <c r="A6" s="218"/>
      <c r="B6" s="219"/>
      <c r="C6" s="219" t="s">
        <v>106</v>
      </c>
      <c r="D6" s="219"/>
      <c r="E6" s="219"/>
      <c r="F6" s="241" t="s">
        <v>107</v>
      </c>
      <c r="G6" s="241" t="s">
        <v>56</v>
      </c>
      <c r="H6" s="241" t="s">
        <v>57</v>
      </c>
      <c r="I6" s="216" t="s">
        <v>58</v>
      </c>
      <c r="J6" s="260" t="s">
        <v>110</v>
      </c>
      <c r="K6" s="219" t="s">
        <v>54</v>
      </c>
      <c r="L6" s="219"/>
      <c r="M6" s="219"/>
      <c r="N6" s="241" t="s">
        <v>107</v>
      </c>
      <c r="O6" s="241" t="s">
        <v>56</v>
      </c>
      <c r="P6" s="241" t="s">
        <v>57</v>
      </c>
      <c r="Q6" s="216" t="s">
        <v>58</v>
      </c>
      <c r="R6" s="260" t="s">
        <v>109</v>
      </c>
      <c r="S6" s="219" t="s">
        <v>54</v>
      </c>
      <c r="T6" s="219"/>
      <c r="U6" s="219"/>
      <c r="V6" s="241" t="s">
        <v>107</v>
      </c>
      <c r="W6" s="241" t="s">
        <v>56</v>
      </c>
      <c r="X6" s="241" t="s">
        <v>57</v>
      </c>
      <c r="Y6" s="216" t="s">
        <v>58</v>
      </c>
      <c r="Z6" s="260" t="s">
        <v>109</v>
      </c>
      <c r="AA6" s="219" t="s">
        <v>54</v>
      </c>
      <c r="AB6" s="219"/>
      <c r="AC6" s="219"/>
      <c r="AD6" s="241" t="s">
        <v>107</v>
      </c>
      <c r="AE6" s="241" t="s">
        <v>56</v>
      </c>
      <c r="AF6" s="241" t="s">
        <v>57</v>
      </c>
      <c r="AG6" s="216" t="s">
        <v>58</v>
      </c>
      <c r="AH6" s="260" t="s">
        <v>109</v>
      </c>
      <c r="AI6" s="263" t="s">
        <v>54</v>
      </c>
      <c r="AJ6" s="263"/>
      <c r="AK6" s="263"/>
      <c r="AL6" s="262" t="s">
        <v>107</v>
      </c>
      <c r="AM6" s="262" t="s">
        <v>56</v>
      </c>
      <c r="AN6" s="262" t="s">
        <v>57</v>
      </c>
      <c r="AO6" s="261" t="s">
        <v>58</v>
      </c>
      <c r="AP6" s="260" t="s">
        <v>109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</row>
    <row r="7" spans="1:182" s="4" customFormat="1" ht="75.75" customHeight="1">
      <c r="A7" s="218"/>
      <c r="B7" s="219"/>
      <c r="C7" s="30" t="s">
        <v>50</v>
      </c>
      <c r="D7" s="30" t="s">
        <v>51</v>
      </c>
      <c r="E7" s="30" t="s">
        <v>52</v>
      </c>
      <c r="F7" s="241"/>
      <c r="G7" s="241"/>
      <c r="H7" s="241"/>
      <c r="I7" s="216"/>
      <c r="J7" s="261"/>
      <c r="K7" s="30" t="s">
        <v>50</v>
      </c>
      <c r="L7" s="30" t="s">
        <v>51</v>
      </c>
      <c r="M7" s="30" t="s">
        <v>52</v>
      </c>
      <c r="N7" s="241"/>
      <c r="O7" s="241"/>
      <c r="P7" s="241"/>
      <c r="Q7" s="216"/>
      <c r="R7" s="261"/>
      <c r="S7" s="30" t="s">
        <v>50</v>
      </c>
      <c r="T7" s="30" t="s">
        <v>51</v>
      </c>
      <c r="U7" s="30" t="s">
        <v>52</v>
      </c>
      <c r="V7" s="241"/>
      <c r="W7" s="241"/>
      <c r="X7" s="241"/>
      <c r="Y7" s="216"/>
      <c r="Z7" s="261"/>
      <c r="AA7" s="30" t="s">
        <v>50</v>
      </c>
      <c r="AB7" s="30" t="s">
        <v>51</v>
      </c>
      <c r="AC7" s="30" t="s">
        <v>52</v>
      </c>
      <c r="AD7" s="241"/>
      <c r="AE7" s="241"/>
      <c r="AF7" s="241"/>
      <c r="AG7" s="216"/>
      <c r="AH7" s="261"/>
      <c r="AI7" s="30" t="s">
        <v>50</v>
      </c>
      <c r="AJ7" s="30" t="s">
        <v>51</v>
      </c>
      <c r="AK7" s="30" t="s">
        <v>52</v>
      </c>
      <c r="AL7" s="241"/>
      <c r="AM7" s="241"/>
      <c r="AN7" s="241"/>
      <c r="AO7" s="216"/>
      <c r="AP7" s="26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</row>
    <row r="8" spans="1:182" s="4" customFormat="1" ht="30.75" customHeight="1">
      <c r="A8" s="35"/>
      <c r="B8" s="43" t="s">
        <v>64</v>
      </c>
      <c r="C8" s="54">
        <f>C10+C20+C32+C49+C50+C51+C52</f>
        <v>10370.7</v>
      </c>
      <c r="D8" s="54">
        <f>D10+D20+D32+D49+D50+D51+D52</f>
        <v>3115.281</v>
      </c>
      <c r="E8" s="54">
        <f>D8/C8*100</f>
        <v>30.03925482368596</v>
      </c>
      <c r="F8" s="54">
        <f>F10+F20+F32+F49+F50+F51+F52</f>
        <v>2550640.6466440745</v>
      </c>
      <c r="G8" s="54">
        <f>G10+G20+G32+G49+G50+G51+G52</f>
        <v>765505.0209932222</v>
      </c>
      <c r="H8" s="54">
        <f>SUM(F8:G8)</f>
        <v>3316145.667637297</v>
      </c>
      <c r="I8" s="54">
        <f>SUM(I10:I52)</f>
        <v>809390.7562222222</v>
      </c>
      <c r="J8" s="54">
        <f>I8-F8</f>
        <v>-1741249.8904218522</v>
      </c>
      <c r="K8" s="54">
        <f>K10+K20+K32+K49+K50+K51+K52</f>
        <v>2553.2</v>
      </c>
      <c r="L8" s="54">
        <f>L10+L20+L32+L49+L50+L51+L52</f>
        <v>601.432</v>
      </c>
      <c r="M8" s="48">
        <f>L8/K8*100</f>
        <v>23.556008146639513</v>
      </c>
      <c r="N8" s="54">
        <f>N10+N20+N32+N49+N50+N51+N52</f>
        <v>641176.515259259</v>
      </c>
      <c r="O8" s="54">
        <f>O10+O20+O32+O49+O50+O51+O52</f>
        <v>192428.96457777772</v>
      </c>
      <c r="P8" s="48">
        <f>SUM(N8:O8)</f>
        <v>833605.4798370367</v>
      </c>
      <c r="Q8" s="54">
        <f>SUM(Q10:Q52)</f>
        <v>181291.5</v>
      </c>
      <c r="R8" s="54">
        <f>Q8-N8</f>
        <v>-459885.01525925903</v>
      </c>
      <c r="S8" s="54">
        <f>S10+S20+S32+S49+S50+S51+S52</f>
        <v>2568.9</v>
      </c>
      <c r="T8" s="54">
        <f>T10+T20+T32+T49+T50+T51+T52</f>
        <v>719.354</v>
      </c>
      <c r="U8" s="48">
        <f>T8/S8*100</f>
        <v>28.00241348437074</v>
      </c>
      <c r="V8" s="54">
        <f>V10+V20+V32+V49+V50+V51+V52</f>
        <v>594089.4237753879</v>
      </c>
      <c r="W8" s="54">
        <f>W10+W20+W32+W49+W50+W51+W52</f>
        <v>178280.78413261642</v>
      </c>
      <c r="X8" s="48">
        <f>SUM(V8:W8)</f>
        <v>772370.2079080043</v>
      </c>
      <c r="Y8" s="54">
        <f>SUM(Y10:Y52)</f>
        <v>196799.71155555555</v>
      </c>
      <c r="Z8" s="54">
        <f>Y8-V8</f>
        <v>-397289.71221983235</v>
      </c>
      <c r="AA8" s="54">
        <f>AA10+AA20+AA32+AA49+AA50+AA51+AA52</f>
        <v>2606</v>
      </c>
      <c r="AB8" s="54">
        <f>AB10+AB20+AB32+AB49+AB50+AB51+AB52</f>
        <v>852.835</v>
      </c>
      <c r="AC8" s="48">
        <f>AB8/AA8*100</f>
        <v>32.725825019186495</v>
      </c>
      <c r="AD8" s="54">
        <f>AD10+AD20+AD32+AD49+AD50+AD51+AD52</f>
        <v>632406.899259259</v>
      </c>
      <c r="AE8" s="54">
        <f>AE10+AE20+AE32+AE49+AE50+AE51+AE52</f>
        <v>189796.4797777777</v>
      </c>
      <c r="AF8" s="48">
        <f>SUM(AD8:AE8)</f>
        <v>822203.3790370367</v>
      </c>
      <c r="AG8" s="54">
        <f>SUM(AG10:AG52)</f>
        <v>213534.91155555556</v>
      </c>
      <c r="AH8" s="54">
        <f>AG8-AD8</f>
        <v>-418871.98770370346</v>
      </c>
      <c r="AI8" s="54">
        <f>AI10+AI20+AI32+AI49+AI50+AI51+AI52</f>
        <v>2642.6</v>
      </c>
      <c r="AJ8" s="54">
        <f>AJ10+AJ20+AJ32+AJ49+AJ50+AJ51+AJ52</f>
        <v>941.6600000000001</v>
      </c>
      <c r="AK8" s="48">
        <f>AJ8/AI8*100</f>
        <v>35.633845455233484</v>
      </c>
      <c r="AL8" s="54">
        <f>AL10+AL20+AL32+AL49+AL50+AL51+AL52</f>
        <v>682967.8083501683</v>
      </c>
      <c r="AM8" s="54">
        <f>AM10+AM20+AM32+AM49+AM50+AM51+AM52</f>
        <v>204998.79250505046</v>
      </c>
      <c r="AN8" s="48">
        <f>SUM(AL8:AM8)</f>
        <v>887966.6008552187</v>
      </c>
      <c r="AO8" s="54">
        <f>SUM(AO10:AO52)</f>
        <v>217764.6331111111</v>
      </c>
      <c r="AP8" s="54">
        <f>AO8-AL8</f>
        <v>-465203.17523905716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</row>
    <row r="9" spans="1:182" s="4" customFormat="1" ht="19.5" customHeight="1">
      <c r="A9" s="69"/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1"/>
      <c r="O9" s="71"/>
      <c r="P9" s="72"/>
      <c r="Q9" s="71"/>
      <c r="R9" s="71"/>
      <c r="S9" s="71"/>
      <c r="T9" s="71"/>
      <c r="U9" s="72"/>
      <c r="V9" s="71"/>
      <c r="W9" s="71"/>
      <c r="X9" s="72"/>
      <c r="Y9" s="71"/>
      <c r="Z9" s="71"/>
      <c r="AA9" s="71"/>
      <c r="AB9" s="71"/>
      <c r="AC9" s="72"/>
      <c r="AD9" s="71"/>
      <c r="AE9" s="71"/>
      <c r="AF9" s="72"/>
      <c r="AG9" s="71"/>
      <c r="AH9" s="71"/>
      <c r="AI9" s="71"/>
      <c r="AJ9" s="71"/>
      <c r="AK9" s="72"/>
      <c r="AL9" s="71"/>
      <c r="AM9" s="71"/>
      <c r="AN9" s="72"/>
      <c r="AO9" s="71"/>
      <c r="AP9" s="71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</row>
    <row r="10" spans="1:42" s="13" customFormat="1" ht="41.25" customHeight="1">
      <c r="A10" s="96" t="s">
        <v>41</v>
      </c>
      <c r="B10" s="97" t="s">
        <v>60</v>
      </c>
      <c r="C10" s="87">
        <f>SUM(C11:C19)</f>
        <v>53</v>
      </c>
      <c r="D10" s="87">
        <f>SUM(D11:D19)</f>
        <v>0</v>
      </c>
      <c r="E10" s="87">
        <f>D10/C10*100</f>
        <v>0</v>
      </c>
      <c r="F10" s="87">
        <f aca="true" t="shared" si="0" ref="F10:L10">SUM(F11:F19)</f>
        <v>272840.19999999995</v>
      </c>
      <c r="G10" s="87">
        <f t="shared" si="0"/>
        <v>81852.06000000001</v>
      </c>
      <c r="H10" s="87">
        <f t="shared" si="0"/>
        <v>354692.25999999995</v>
      </c>
      <c r="I10" s="87">
        <f t="shared" si="0"/>
        <v>0</v>
      </c>
      <c r="J10" s="101">
        <f>I10-F10</f>
        <v>-272840.19999999995</v>
      </c>
      <c r="K10" s="87">
        <f t="shared" si="0"/>
        <v>6</v>
      </c>
      <c r="L10" s="87">
        <f t="shared" si="0"/>
        <v>0</v>
      </c>
      <c r="M10" s="87">
        <f>L10/K10*100</f>
        <v>0</v>
      </c>
      <c r="N10" s="87">
        <f aca="true" t="shared" si="1" ref="N10:T10">SUM(N11:N19)</f>
        <v>68139</v>
      </c>
      <c r="O10" s="87">
        <f t="shared" si="1"/>
        <v>20441.699999999997</v>
      </c>
      <c r="P10" s="87">
        <f t="shared" si="1"/>
        <v>88580.70000000001</v>
      </c>
      <c r="Q10" s="87">
        <f t="shared" si="1"/>
        <v>0</v>
      </c>
      <c r="R10" s="101">
        <f aca="true" t="shared" si="2" ref="R10:R52">Q10-N10</f>
        <v>-68139</v>
      </c>
      <c r="S10" s="87">
        <f t="shared" si="1"/>
        <v>13</v>
      </c>
      <c r="T10" s="87">
        <f t="shared" si="1"/>
        <v>0</v>
      </c>
      <c r="U10" s="87">
        <f>T10/S10*100</f>
        <v>0</v>
      </c>
      <c r="V10" s="87">
        <f aca="true" t="shared" si="3" ref="V10:AB10">SUM(V11:V19)</f>
        <v>65390.9</v>
      </c>
      <c r="W10" s="87">
        <f t="shared" si="3"/>
        <v>19617.270000000004</v>
      </c>
      <c r="X10" s="87">
        <f t="shared" si="3"/>
        <v>85008.16999999998</v>
      </c>
      <c r="Y10" s="87">
        <f t="shared" si="3"/>
        <v>0</v>
      </c>
      <c r="Z10" s="101">
        <f aca="true" t="shared" si="4" ref="Z10:Z52">Y10-V10</f>
        <v>-65390.9</v>
      </c>
      <c r="AA10" s="87">
        <f t="shared" si="3"/>
        <v>14</v>
      </c>
      <c r="AB10" s="87">
        <f t="shared" si="3"/>
        <v>0</v>
      </c>
      <c r="AC10" s="87">
        <f>AB10/AA10*100</f>
        <v>0</v>
      </c>
      <c r="AD10" s="87">
        <f aca="true" t="shared" si="5" ref="AD10:AJ10">SUM(AD11:AD19)</f>
        <v>72141.5</v>
      </c>
      <c r="AE10" s="87">
        <f t="shared" si="5"/>
        <v>21642.45</v>
      </c>
      <c r="AF10" s="87">
        <f t="shared" si="5"/>
        <v>93783.95</v>
      </c>
      <c r="AG10" s="87">
        <f t="shared" si="5"/>
        <v>0</v>
      </c>
      <c r="AH10" s="101">
        <f aca="true" t="shared" si="6" ref="AH10:AH52">AG10-AD10</f>
        <v>-72141.5</v>
      </c>
      <c r="AI10" s="87">
        <f t="shared" si="5"/>
        <v>20</v>
      </c>
      <c r="AJ10" s="87">
        <f t="shared" si="5"/>
        <v>0</v>
      </c>
      <c r="AK10" s="87">
        <f>AJ10/AI10*100</f>
        <v>0</v>
      </c>
      <c r="AL10" s="87">
        <f>SUM(AL11:AL19)</f>
        <v>67168.79999999999</v>
      </c>
      <c r="AM10" s="87">
        <f>SUM(AM11:AM19)</f>
        <v>20150.64</v>
      </c>
      <c r="AN10" s="87">
        <f>SUM(AN11:AN19)</f>
        <v>87319.44</v>
      </c>
      <c r="AO10" s="87">
        <f>SUM(AO11:AO19)</f>
        <v>0</v>
      </c>
      <c r="AP10" s="101">
        <f aca="true" t="shared" si="7" ref="AP10:AP52">AO10-AL10</f>
        <v>-67168.79999999999</v>
      </c>
    </row>
    <row r="11" spans="1:42" s="3" customFormat="1" ht="18.75" customHeight="1" hidden="1">
      <c r="A11" s="102">
        <v>1</v>
      </c>
      <c r="B11" s="103" t="s">
        <v>65</v>
      </c>
      <c r="C11" s="83">
        <f aca="true" t="shared" si="8" ref="C11:C19">K11+S11+AA11+AI11</f>
        <v>53</v>
      </c>
      <c r="D11" s="83">
        <f aca="true" t="shared" si="9" ref="D11:D19">L11+T11+AB11+AJ11</f>
        <v>0</v>
      </c>
      <c r="E11" s="83"/>
      <c r="F11" s="83">
        <f aca="true" t="shared" si="10" ref="F11:F19">N11+V11+AD11+AL11</f>
        <v>228173</v>
      </c>
      <c r="G11" s="83">
        <f aca="true" t="shared" si="11" ref="G11:G19">O11+W11+AE11+AM11</f>
        <v>68451.9</v>
      </c>
      <c r="H11" s="57">
        <f>SUM(F11:G11)</f>
        <v>296624.9</v>
      </c>
      <c r="I11" s="83">
        <f aca="true" t="shared" si="12" ref="I11:I19">Q11+Y11+AG11+AO11</f>
        <v>0</v>
      </c>
      <c r="J11" s="101">
        <f aca="true" t="shared" si="13" ref="J11:J52">I11-F11</f>
        <v>-228173</v>
      </c>
      <c r="K11" s="84">
        <v>6</v>
      </c>
      <c r="L11" s="84">
        <v>0</v>
      </c>
      <c r="M11" s="85">
        <v>0</v>
      </c>
      <c r="N11" s="84">
        <v>57017</v>
      </c>
      <c r="O11" s="84">
        <f>N11*0.3</f>
        <v>17105.1</v>
      </c>
      <c r="P11" s="46">
        <f>SUM(N11:O11)</f>
        <v>74122.1</v>
      </c>
      <c r="Q11" s="57">
        <v>0</v>
      </c>
      <c r="R11" s="101">
        <f t="shared" si="2"/>
        <v>-57017</v>
      </c>
      <c r="S11" s="84">
        <v>13</v>
      </c>
      <c r="T11" s="84">
        <v>0</v>
      </c>
      <c r="U11" s="85">
        <v>0</v>
      </c>
      <c r="V11" s="84">
        <v>54272</v>
      </c>
      <c r="W11" s="84">
        <f>V11*0.3</f>
        <v>16281.599999999999</v>
      </c>
      <c r="X11" s="46">
        <f>SUM(V11:W11)</f>
        <v>70553.6</v>
      </c>
      <c r="Y11" s="57">
        <v>0</v>
      </c>
      <c r="Z11" s="101">
        <f t="shared" si="4"/>
        <v>-54272</v>
      </c>
      <c r="AA11" s="84">
        <v>14</v>
      </c>
      <c r="AB11" s="84">
        <v>0</v>
      </c>
      <c r="AC11" s="85">
        <v>0</v>
      </c>
      <c r="AD11" s="84">
        <v>60887</v>
      </c>
      <c r="AE11" s="84">
        <f>AD11*0.3</f>
        <v>18266.1</v>
      </c>
      <c r="AF11" s="46">
        <f>SUM(AD11:AE11)</f>
        <v>79153.1</v>
      </c>
      <c r="AG11" s="57">
        <v>0</v>
      </c>
      <c r="AH11" s="101">
        <f t="shared" si="6"/>
        <v>-60887</v>
      </c>
      <c r="AI11" s="84">
        <v>20</v>
      </c>
      <c r="AJ11" s="84">
        <v>0</v>
      </c>
      <c r="AK11" s="85">
        <v>0</v>
      </c>
      <c r="AL11" s="84">
        <v>55997</v>
      </c>
      <c r="AM11" s="84">
        <f>AL11*0.3</f>
        <v>16799.1</v>
      </c>
      <c r="AN11" s="46">
        <f>SUM(AL11:AM11)</f>
        <v>72796.1</v>
      </c>
      <c r="AO11" s="57">
        <v>0</v>
      </c>
      <c r="AP11" s="101">
        <f t="shared" si="7"/>
        <v>-55997</v>
      </c>
    </row>
    <row r="12" spans="1:42" s="3" customFormat="1" ht="18.75" customHeight="1" hidden="1">
      <c r="A12" s="102">
        <v>2</v>
      </c>
      <c r="B12" s="103" t="s">
        <v>66</v>
      </c>
      <c r="C12" s="83">
        <f t="shared" si="8"/>
        <v>0</v>
      </c>
      <c r="D12" s="83">
        <f t="shared" si="9"/>
        <v>0</v>
      </c>
      <c r="E12" s="83"/>
      <c r="F12" s="83">
        <f t="shared" si="10"/>
        <v>8252.300000000001</v>
      </c>
      <c r="G12" s="83">
        <f t="shared" si="11"/>
        <v>2475.69</v>
      </c>
      <c r="H12" s="57">
        <f aca="true" t="shared" si="14" ref="H12:H19">SUM(F12:G12)</f>
        <v>10727.990000000002</v>
      </c>
      <c r="I12" s="83">
        <f t="shared" si="12"/>
        <v>0</v>
      </c>
      <c r="J12" s="101">
        <f t="shared" si="13"/>
        <v>-8252.300000000001</v>
      </c>
      <c r="K12" s="85"/>
      <c r="L12" s="85"/>
      <c r="M12" s="85">
        <v>0</v>
      </c>
      <c r="N12" s="84">
        <v>2172.8</v>
      </c>
      <c r="O12" s="84">
        <f aca="true" t="shared" si="15" ref="O12:O19">N12*0.3</f>
        <v>651.84</v>
      </c>
      <c r="P12" s="46">
        <f aca="true" t="shared" si="16" ref="P12:P48">SUM(N12:O12)</f>
        <v>2824.6400000000003</v>
      </c>
      <c r="Q12" s="57">
        <v>0</v>
      </c>
      <c r="R12" s="101">
        <f t="shared" si="2"/>
        <v>-2172.8</v>
      </c>
      <c r="S12" s="85"/>
      <c r="T12" s="85"/>
      <c r="U12" s="85"/>
      <c r="V12" s="84">
        <v>1983.4</v>
      </c>
      <c r="W12" s="84">
        <f aca="true" t="shared" si="17" ref="W12:W19">V12*0.3</f>
        <v>595.02</v>
      </c>
      <c r="X12" s="46">
        <f aca="true" t="shared" si="18" ref="X12:X19">SUM(V12:W12)</f>
        <v>2578.42</v>
      </c>
      <c r="Y12" s="57">
        <v>0</v>
      </c>
      <c r="Z12" s="101">
        <f t="shared" si="4"/>
        <v>-1983.4</v>
      </c>
      <c r="AA12" s="85"/>
      <c r="AB12" s="85"/>
      <c r="AC12" s="85"/>
      <c r="AD12" s="84">
        <v>2086.8</v>
      </c>
      <c r="AE12" s="84">
        <f aca="true" t="shared" si="19" ref="AE12:AE19">AD12*0.3</f>
        <v>626.0400000000001</v>
      </c>
      <c r="AF12" s="46">
        <f aca="true" t="shared" si="20" ref="AF12:AF19">SUM(AD12:AE12)</f>
        <v>2712.84</v>
      </c>
      <c r="AG12" s="57">
        <v>0</v>
      </c>
      <c r="AH12" s="101">
        <f t="shared" si="6"/>
        <v>-2086.8</v>
      </c>
      <c r="AI12" s="85"/>
      <c r="AJ12" s="85"/>
      <c r="AK12" s="85"/>
      <c r="AL12" s="84">
        <v>2009.3</v>
      </c>
      <c r="AM12" s="84">
        <f aca="true" t="shared" si="21" ref="AM12:AM19">AL12*0.3</f>
        <v>602.79</v>
      </c>
      <c r="AN12" s="46">
        <f aca="true" t="shared" si="22" ref="AN12:AN19">SUM(AL12:AM12)</f>
        <v>2612.09</v>
      </c>
      <c r="AO12" s="57">
        <v>0</v>
      </c>
      <c r="AP12" s="101">
        <f t="shared" si="7"/>
        <v>-2009.3</v>
      </c>
    </row>
    <row r="13" spans="1:42" s="3" customFormat="1" ht="18.75" customHeight="1" hidden="1">
      <c r="A13" s="102">
        <v>3</v>
      </c>
      <c r="B13" s="103" t="s">
        <v>67</v>
      </c>
      <c r="C13" s="83">
        <f t="shared" si="8"/>
        <v>0</v>
      </c>
      <c r="D13" s="83">
        <f t="shared" si="9"/>
        <v>0</v>
      </c>
      <c r="E13" s="83"/>
      <c r="F13" s="83">
        <f t="shared" si="10"/>
        <v>4353.6</v>
      </c>
      <c r="G13" s="83">
        <f t="shared" si="11"/>
        <v>1306.08</v>
      </c>
      <c r="H13" s="57">
        <f t="shared" si="14"/>
        <v>5659.68</v>
      </c>
      <c r="I13" s="83">
        <f t="shared" si="12"/>
        <v>0</v>
      </c>
      <c r="J13" s="101">
        <f t="shared" si="13"/>
        <v>-4353.6</v>
      </c>
      <c r="K13" s="85"/>
      <c r="L13" s="85"/>
      <c r="M13" s="85">
        <v>0</v>
      </c>
      <c r="N13" s="84">
        <v>886.3</v>
      </c>
      <c r="O13" s="84">
        <f t="shared" si="15"/>
        <v>265.89</v>
      </c>
      <c r="P13" s="46">
        <f t="shared" si="16"/>
        <v>1152.19</v>
      </c>
      <c r="Q13" s="57">
        <v>0</v>
      </c>
      <c r="R13" s="101">
        <f t="shared" si="2"/>
        <v>-886.3</v>
      </c>
      <c r="S13" s="85"/>
      <c r="T13" s="85"/>
      <c r="U13" s="85"/>
      <c r="V13" s="84">
        <v>1107.7</v>
      </c>
      <c r="W13" s="84">
        <f t="shared" si="17"/>
        <v>332.31</v>
      </c>
      <c r="X13" s="46">
        <f t="shared" si="18"/>
        <v>1440.01</v>
      </c>
      <c r="Y13" s="57">
        <v>0</v>
      </c>
      <c r="Z13" s="101">
        <f t="shared" si="4"/>
        <v>-1107.7</v>
      </c>
      <c r="AA13" s="85"/>
      <c r="AB13" s="85"/>
      <c r="AC13" s="85"/>
      <c r="AD13" s="84">
        <v>1204.4</v>
      </c>
      <c r="AE13" s="84">
        <f t="shared" si="19"/>
        <v>361.32</v>
      </c>
      <c r="AF13" s="46">
        <f t="shared" si="20"/>
        <v>1565.72</v>
      </c>
      <c r="AG13" s="57">
        <v>0</v>
      </c>
      <c r="AH13" s="101">
        <f t="shared" si="6"/>
        <v>-1204.4</v>
      </c>
      <c r="AI13" s="85"/>
      <c r="AJ13" s="85"/>
      <c r="AK13" s="85"/>
      <c r="AL13" s="84">
        <v>1155.2</v>
      </c>
      <c r="AM13" s="84">
        <f t="shared" si="21"/>
        <v>346.56</v>
      </c>
      <c r="AN13" s="46">
        <f t="shared" si="22"/>
        <v>1501.76</v>
      </c>
      <c r="AO13" s="57">
        <v>0</v>
      </c>
      <c r="AP13" s="101">
        <f t="shared" si="7"/>
        <v>-1155.2</v>
      </c>
    </row>
    <row r="14" spans="1:42" s="3" customFormat="1" ht="18.75" customHeight="1" hidden="1">
      <c r="A14" s="102">
        <v>4</v>
      </c>
      <c r="B14" s="103" t="s">
        <v>68</v>
      </c>
      <c r="C14" s="83">
        <f t="shared" si="8"/>
        <v>0</v>
      </c>
      <c r="D14" s="83">
        <f t="shared" si="9"/>
        <v>0</v>
      </c>
      <c r="E14" s="83"/>
      <c r="F14" s="83">
        <f t="shared" si="10"/>
        <v>5400</v>
      </c>
      <c r="G14" s="83">
        <f t="shared" si="11"/>
        <v>1620</v>
      </c>
      <c r="H14" s="57">
        <f t="shared" si="14"/>
        <v>7020</v>
      </c>
      <c r="I14" s="83">
        <f t="shared" si="12"/>
        <v>0</v>
      </c>
      <c r="J14" s="101">
        <f t="shared" si="13"/>
        <v>-5400</v>
      </c>
      <c r="K14" s="85"/>
      <c r="L14" s="85"/>
      <c r="M14" s="85">
        <v>0</v>
      </c>
      <c r="N14" s="84">
        <v>1370</v>
      </c>
      <c r="O14" s="84">
        <f t="shared" si="15"/>
        <v>411</v>
      </c>
      <c r="P14" s="46">
        <f t="shared" si="16"/>
        <v>1781</v>
      </c>
      <c r="Q14" s="57">
        <v>0</v>
      </c>
      <c r="R14" s="101">
        <f t="shared" si="2"/>
        <v>-1370</v>
      </c>
      <c r="S14" s="85"/>
      <c r="T14" s="85"/>
      <c r="U14" s="85"/>
      <c r="V14" s="84">
        <v>1320</v>
      </c>
      <c r="W14" s="84">
        <f t="shared" si="17"/>
        <v>396</v>
      </c>
      <c r="X14" s="46">
        <f t="shared" si="18"/>
        <v>1716</v>
      </c>
      <c r="Y14" s="57">
        <v>0</v>
      </c>
      <c r="Z14" s="101">
        <f t="shared" si="4"/>
        <v>-1320</v>
      </c>
      <c r="AA14" s="85"/>
      <c r="AB14" s="85"/>
      <c r="AC14" s="85"/>
      <c r="AD14" s="84">
        <v>1330</v>
      </c>
      <c r="AE14" s="84">
        <f t="shared" si="19"/>
        <v>399</v>
      </c>
      <c r="AF14" s="46">
        <f t="shared" si="20"/>
        <v>1729</v>
      </c>
      <c r="AG14" s="57">
        <v>0</v>
      </c>
      <c r="AH14" s="101">
        <f t="shared" si="6"/>
        <v>-1330</v>
      </c>
      <c r="AI14" s="85"/>
      <c r="AJ14" s="85"/>
      <c r="AK14" s="85"/>
      <c r="AL14" s="84">
        <v>1380</v>
      </c>
      <c r="AM14" s="84">
        <f t="shared" si="21"/>
        <v>414</v>
      </c>
      <c r="AN14" s="46">
        <f t="shared" si="22"/>
        <v>1794</v>
      </c>
      <c r="AO14" s="57">
        <v>0</v>
      </c>
      <c r="AP14" s="101">
        <f t="shared" si="7"/>
        <v>-1380</v>
      </c>
    </row>
    <row r="15" spans="1:42" s="3" customFormat="1" ht="18.75" customHeight="1" hidden="1">
      <c r="A15" s="102">
        <v>5</v>
      </c>
      <c r="B15" s="103" t="s">
        <v>69</v>
      </c>
      <c r="C15" s="83">
        <f t="shared" si="8"/>
        <v>0</v>
      </c>
      <c r="D15" s="83">
        <f t="shared" si="9"/>
        <v>0</v>
      </c>
      <c r="E15" s="83"/>
      <c r="F15" s="83">
        <f t="shared" si="10"/>
        <v>1443.6</v>
      </c>
      <c r="G15" s="83">
        <f t="shared" si="11"/>
        <v>433.08</v>
      </c>
      <c r="H15" s="57">
        <f t="shared" si="14"/>
        <v>1876.6799999999998</v>
      </c>
      <c r="I15" s="83">
        <f t="shared" si="12"/>
        <v>0</v>
      </c>
      <c r="J15" s="101">
        <f t="shared" si="13"/>
        <v>-1443.6</v>
      </c>
      <c r="K15" s="85"/>
      <c r="L15" s="85"/>
      <c r="M15" s="85">
        <v>0</v>
      </c>
      <c r="N15" s="84">
        <v>360.9</v>
      </c>
      <c r="O15" s="84">
        <f t="shared" si="15"/>
        <v>108.27</v>
      </c>
      <c r="P15" s="46">
        <f t="shared" si="16"/>
        <v>469.16999999999996</v>
      </c>
      <c r="Q15" s="57">
        <v>0</v>
      </c>
      <c r="R15" s="101">
        <f t="shared" si="2"/>
        <v>-360.9</v>
      </c>
      <c r="S15" s="85"/>
      <c r="T15" s="85"/>
      <c r="U15" s="85"/>
      <c r="V15" s="84">
        <v>360.9</v>
      </c>
      <c r="W15" s="84">
        <f t="shared" si="17"/>
        <v>108.27</v>
      </c>
      <c r="X15" s="46">
        <f t="shared" si="18"/>
        <v>469.16999999999996</v>
      </c>
      <c r="Y15" s="57">
        <v>0</v>
      </c>
      <c r="Z15" s="101">
        <f t="shared" si="4"/>
        <v>-360.9</v>
      </c>
      <c r="AA15" s="85"/>
      <c r="AB15" s="85"/>
      <c r="AC15" s="85"/>
      <c r="AD15" s="84">
        <v>360.9</v>
      </c>
      <c r="AE15" s="84">
        <f t="shared" si="19"/>
        <v>108.27</v>
      </c>
      <c r="AF15" s="46">
        <f t="shared" si="20"/>
        <v>469.16999999999996</v>
      </c>
      <c r="AG15" s="57">
        <v>0</v>
      </c>
      <c r="AH15" s="101">
        <f t="shared" si="6"/>
        <v>-360.9</v>
      </c>
      <c r="AI15" s="85"/>
      <c r="AJ15" s="85"/>
      <c r="AK15" s="85"/>
      <c r="AL15" s="84">
        <v>360.9</v>
      </c>
      <c r="AM15" s="84">
        <f t="shared" si="21"/>
        <v>108.27</v>
      </c>
      <c r="AN15" s="46">
        <f t="shared" si="22"/>
        <v>469.16999999999996</v>
      </c>
      <c r="AO15" s="57">
        <v>0</v>
      </c>
      <c r="AP15" s="101">
        <f t="shared" si="7"/>
        <v>-360.9</v>
      </c>
    </row>
    <row r="16" spans="1:42" s="3" customFormat="1" ht="18.75" customHeight="1" hidden="1">
      <c r="A16" s="102">
        <v>6</v>
      </c>
      <c r="B16" s="103" t="s">
        <v>70</v>
      </c>
      <c r="C16" s="83">
        <f t="shared" si="8"/>
        <v>0</v>
      </c>
      <c r="D16" s="83">
        <f t="shared" si="9"/>
        <v>0</v>
      </c>
      <c r="E16" s="83"/>
      <c r="F16" s="83">
        <f t="shared" si="10"/>
        <v>3115</v>
      </c>
      <c r="G16" s="83">
        <f t="shared" si="11"/>
        <v>934.5</v>
      </c>
      <c r="H16" s="57">
        <f t="shared" si="14"/>
        <v>4049.5</v>
      </c>
      <c r="I16" s="83">
        <f t="shared" si="12"/>
        <v>0</v>
      </c>
      <c r="J16" s="101">
        <f t="shared" si="13"/>
        <v>-3115</v>
      </c>
      <c r="K16" s="85"/>
      <c r="L16" s="85"/>
      <c r="M16" s="85">
        <v>0</v>
      </c>
      <c r="N16" s="84">
        <v>767</v>
      </c>
      <c r="O16" s="84">
        <f t="shared" si="15"/>
        <v>230.1</v>
      </c>
      <c r="P16" s="46">
        <f t="shared" si="16"/>
        <v>997.1</v>
      </c>
      <c r="Q16" s="57">
        <v>0</v>
      </c>
      <c r="R16" s="101">
        <f t="shared" si="2"/>
        <v>-767</v>
      </c>
      <c r="S16" s="85"/>
      <c r="T16" s="85"/>
      <c r="U16" s="85"/>
      <c r="V16" s="84">
        <v>778</v>
      </c>
      <c r="W16" s="84">
        <f t="shared" si="17"/>
        <v>233.39999999999998</v>
      </c>
      <c r="X16" s="46">
        <f t="shared" si="18"/>
        <v>1011.4</v>
      </c>
      <c r="Y16" s="57">
        <v>0</v>
      </c>
      <c r="Z16" s="101">
        <f t="shared" si="4"/>
        <v>-778</v>
      </c>
      <c r="AA16" s="85"/>
      <c r="AB16" s="85"/>
      <c r="AC16" s="85"/>
      <c r="AD16" s="84">
        <v>788</v>
      </c>
      <c r="AE16" s="84">
        <f t="shared" si="19"/>
        <v>236.39999999999998</v>
      </c>
      <c r="AF16" s="46">
        <f t="shared" si="20"/>
        <v>1024.4</v>
      </c>
      <c r="AG16" s="57">
        <v>0</v>
      </c>
      <c r="AH16" s="101">
        <f t="shared" si="6"/>
        <v>-788</v>
      </c>
      <c r="AI16" s="85"/>
      <c r="AJ16" s="85"/>
      <c r="AK16" s="85"/>
      <c r="AL16" s="84">
        <v>782</v>
      </c>
      <c r="AM16" s="84">
        <f t="shared" si="21"/>
        <v>234.6</v>
      </c>
      <c r="AN16" s="46">
        <f t="shared" si="22"/>
        <v>1016.6</v>
      </c>
      <c r="AO16" s="57">
        <v>0</v>
      </c>
      <c r="AP16" s="101">
        <f t="shared" si="7"/>
        <v>-782</v>
      </c>
    </row>
    <row r="17" spans="1:42" s="3" customFormat="1" ht="18.75" customHeight="1" hidden="1">
      <c r="A17" s="102">
        <v>7</v>
      </c>
      <c r="B17" s="103" t="s">
        <v>71</v>
      </c>
      <c r="C17" s="83">
        <f t="shared" si="8"/>
        <v>0</v>
      </c>
      <c r="D17" s="83">
        <f t="shared" si="9"/>
        <v>0</v>
      </c>
      <c r="E17" s="83"/>
      <c r="F17" s="83">
        <f t="shared" si="10"/>
        <v>3121.8999999999996</v>
      </c>
      <c r="G17" s="83">
        <f t="shared" si="11"/>
        <v>936.5699999999999</v>
      </c>
      <c r="H17" s="57">
        <f t="shared" si="14"/>
        <v>4058.4699999999993</v>
      </c>
      <c r="I17" s="83">
        <f t="shared" si="12"/>
        <v>0</v>
      </c>
      <c r="J17" s="101">
        <f t="shared" si="13"/>
        <v>-3121.8999999999996</v>
      </c>
      <c r="K17" s="85"/>
      <c r="L17" s="85"/>
      <c r="M17" s="85">
        <v>0</v>
      </c>
      <c r="N17" s="84">
        <v>819.8</v>
      </c>
      <c r="O17" s="84">
        <f t="shared" si="15"/>
        <v>245.93999999999997</v>
      </c>
      <c r="P17" s="46">
        <f t="shared" si="16"/>
        <v>1065.74</v>
      </c>
      <c r="Q17" s="57">
        <v>0</v>
      </c>
      <c r="R17" s="101">
        <f t="shared" si="2"/>
        <v>-819.8</v>
      </c>
      <c r="S17" s="85"/>
      <c r="T17" s="85"/>
      <c r="U17" s="85"/>
      <c r="V17" s="84">
        <v>823.7</v>
      </c>
      <c r="W17" s="84">
        <f t="shared" si="17"/>
        <v>247.11</v>
      </c>
      <c r="X17" s="46">
        <f t="shared" si="18"/>
        <v>1070.81</v>
      </c>
      <c r="Y17" s="57">
        <v>0</v>
      </c>
      <c r="Z17" s="101">
        <f t="shared" si="4"/>
        <v>-823.7</v>
      </c>
      <c r="AA17" s="85"/>
      <c r="AB17" s="85"/>
      <c r="AC17" s="85"/>
      <c r="AD17" s="84">
        <v>739.2</v>
      </c>
      <c r="AE17" s="84">
        <f t="shared" si="19"/>
        <v>221.76000000000002</v>
      </c>
      <c r="AF17" s="46">
        <f t="shared" si="20"/>
        <v>960.96</v>
      </c>
      <c r="AG17" s="57">
        <v>0</v>
      </c>
      <c r="AH17" s="101">
        <f t="shared" si="6"/>
        <v>-739.2</v>
      </c>
      <c r="AI17" s="85"/>
      <c r="AJ17" s="85"/>
      <c r="AK17" s="85"/>
      <c r="AL17" s="84">
        <v>739.2</v>
      </c>
      <c r="AM17" s="84">
        <f t="shared" si="21"/>
        <v>221.76000000000002</v>
      </c>
      <c r="AN17" s="46">
        <f t="shared" si="22"/>
        <v>960.96</v>
      </c>
      <c r="AO17" s="57">
        <v>0</v>
      </c>
      <c r="AP17" s="101">
        <f t="shared" si="7"/>
        <v>-739.2</v>
      </c>
    </row>
    <row r="18" spans="1:42" s="3" customFormat="1" ht="18.75" customHeight="1" hidden="1">
      <c r="A18" s="102">
        <v>8</v>
      </c>
      <c r="B18" s="103" t="s">
        <v>72</v>
      </c>
      <c r="C18" s="83">
        <f t="shared" si="8"/>
        <v>0</v>
      </c>
      <c r="D18" s="83">
        <f t="shared" si="9"/>
        <v>0</v>
      </c>
      <c r="E18" s="83"/>
      <c r="F18" s="83">
        <f t="shared" si="10"/>
        <v>18421.2</v>
      </c>
      <c r="G18" s="83">
        <f t="shared" si="11"/>
        <v>5526.36</v>
      </c>
      <c r="H18" s="57">
        <f t="shared" si="14"/>
        <v>23947.56</v>
      </c>
      <c r="I18" s="83">
        <f t="shared" si="12"/>
        <v>0</v>
      </c>
      <c r="J18" s="101">
        <f t="shared" si="13"/>
        <v>-18421.2</v>
      </c>
      <c r="K18" s="85"/>
      <c r="L18" s="85"/>
      <c r="M18" s="85">
        <v>0</v>
      </c>
      <c r="N18" s="84">
        <v>4605.3</v>
      </c>
      <c r="O18" s="84">
        <f t="shared" si="15"/>
        <v>1381.59</v>
      </c>
      <c r="P18" s="46">
        <f t="shared" si="16"/>
        <v>5986.89</v>
      </c>
      <c r="Q18" s="57">
        <v>0</v>
      </c>
      <c r="R18" s="101">
        <f t="shared" si="2"/>
        <v>-4605.3</v>
      </c>
      <c r="S18" s="85"/>
      <c r="T18" s="85"/>
      <c r="U18" s="85"/>
      <c r="V18" s="84">
        <v>4605.3</v>
      </c>
      <c r="W18" s="84">
        <f t="shared" si="17"/>
        <v>1381.59</v>
      </c>
      <c r="X18" s="46">
        <f t="shared" si="18"/>
        <v>5986.89</v>
      </c>
      <c r="Y18" s="57">
        <v>0</v>
      </c>
      <c r="Z18" s="101">
        <f t="shared" si="4"/>
        <v>-4605.3</v>
      </c>
      <c r="AA18" s="85"/>
      <c r="AB18" s="85"/>
      <c r="AC18" s="85"/>
      <c r="AD18" s="84">
        <v>4605.3</v>
      </c>
      <c r="AE18" s="84">
        <f t="shared" si="19"/>
        <v>1381.59</v>
      </c>
      <c r="AF18" s="46">
        <f t="shared" si="20"/>
        <v>5986.89</v>
      </c>
      <c r="AG18" s="57">
        <v>0</v>
      </c>
      <c r="AH18" s="101">
        <f t="shared" si="6"/>
        <v>-4605.3</v>
      </c>
      <c r="AI18" s="85"/>
      <c r="AJ18" s="85"/>
      <c r="AK18" s="85"/>
      <c r="AL18" s="84">
        <v>4605.3</v>
      </c>
      <c r="AM18" s="84">
        <f t="shared" si="21"/>
        <v>1381.59</v>
      </c>
      <c r="AN18" s="46">
        <f t="shared" si="22"/>
        <v>5986.89</v>
      </c>
      <c r="AO18" s="57">
        <v>0</v>
      </c>
      <c r="AP18" s="101">
        <f t="shared" si="7"/>
        <v>-4605.3</v>
      </c>
    </row>
    <row r="19" spans="1:42" s="3" customFormat="1" ht="18.75" customHeight="1" hidden="1">
      <c r="A19" s="102">
        <v>9</v>
      </c>
      <c r="B19" s="103" t="s">
        <v>73</v>
      </c>
      <c r="C19" s="83">
        <f t="shared" si="8"/>
        <v>0</v>
      </c>
      <c r="D19" s="83">
        <f t="shared" si="9"/>
        <v>0</v>
      </c>
      <c r="E19" s="83"/>
      <c r="F19" s="83">
        <f t="shared" si="10"/>
        <v>559.6</v>
      </c>
      <c r="G19" s="83">
        <f t="shared" si="11"/>
        <v>167.88</v>
      </c>
      <c r="H19" s="57">
        <f t="shared" si="14"/>
        <v>727.48</v>
      </c>
      <c r="I19" s="83">
        <f t="shared" si="12"/>
        <v>0</v>
      </c>
      <c r="J19" s="101">
        <f t="shared" si="13"/>
        <v>-559.6</v>
      </c>
      <c r="K19" s="85"/>
      <c r="L19" s="85"/>
      <c r="M19" s="85">
        <v>0</v>
      </c>
      <c r="N19" s="84">
        <v>139.9</v>
      </c>
      <c r="O19" s="84">
        <f t="shared" si="15"/>
        <v>41.97</v>
      </c>
      <c r="P19" s="46">
        <f t="shared" si="16"/>
        <v>181.87</v>
      </c>
      <c r="Q19" s="57">
        <v>0</v>
      </c>
      <c r="R19" s="101">
        <f t="shared" si="2"/>
        <v>-139.9</v>
      </c>
      <c r="S19" s="85"/>
      <c r="T19" s="85"/>
      <c r="U19" s="85"/>
      <c r="V19" s="84">
        <v>139.9</v>
      </c>
      <c r="W19" s="84">
        <f t="shared" si="17"/>
        <v>41.97</v>
      </c>
      <c r="X19" s="46">
        <f t="shared" si="18"/>
        <v>181.87</v>
      </c>
      <c r="Y19" s="57">
        <v>0</v>
      </c>
      <c r="Z19" s="101">
        <f t="shared" si="4"/>
        <v>-139.9</v>
      </c>
      <c r="AA19" s="85"/>
      <c r="AB19" s="85"/>
      <c r="AC19" s="85"/>
      <c r="AD19" s="84">
        <v>139.9</v>
      </c>
      <c r="AE19" s="84">
        <f t="shared" si="19"/>
        <v>41.97</v>
      </c>
      <c r="AF19" s="46">
        <f t="shared" si="20"/>
        <v>181.87</v>
      </c>
      <c r="AG19" s="57">
        <v>0</v>
      </c>
      <c r="AH19" s="101">
        <f t="shared" si="6"/>
        <v>-139.9</v>
      </c>
      <c r="AI19" s="85"/>
      <c r="AJ19" s="85"/>
      <c r="AK19" s="85"/>
      <c r="AL19" s="84">
        <v>139.9</v>
      </c>
      <c r="AM19" s="84">
        <f t="shared" si="21"/>
        <v>41.97</v>
      </c>
      <c r="AN19" s="46">
        <f t="shared" si="22"/>
        <v>181.87</v>
      </c>
      <c r="AO19" s="57">
        <v>0</v>
      </c>
      <c r="AP19" s="101">
        <f t="shared" si="7"/>
        <v>-139.9</v>
      </c>
    </row>
    <row r="20" spans="1:42" s="13" customFormat="1" ht="41.25" customHeight="1">
      <c r="A20" s="96" t="s">
        <v>76</v>
      </c>
      <c r="B20" s="97" t="s">
        <v>63</v>
      </c>
      <c r="C20" s="87">
        <f>SUM(C21:C31)</f>
        <v>109.2</v>
      </c>
      <c r="D20" s="87">
        <f>SUM(D21:D31)</f>
        <v>64.94999999999999</v>
      </c>
      <c r="E20" s="87">
        <f>D20/C20*100</f>
        <v>59.478021978021964</v>
      </c>
      <c r="F20" s="87">
        <f aca="true" t="shared" si="23" ref="F20:F52">N20+V20+AD20+AL20</f>
        <v>477947.0696070381</v>
      </c>
      <c r="G20" s="87">
        <f>F20*0.3</f>
        <v>143384.12088211143</v>
      </c>
      <c r="H20" s="87">
        <f>SUM(F20:G20)</f>
        <v>621331.1904891495</v>
      </c>
      <c r="I20" s="87">
        <f>SUM(I21:I31)</f>
        <v>0</v>
      </c>
      <c r="J20" s="101">
        <f>I20-F20</f>
        <v>-477947.0696070381</v>
      </c>
      <c r="K20" s="87">
        <f>SUM(K21:K31)</f>
        <v>26</v>
      </c>
      <c r="L20" s="87">
        <f>SUM(L21:L31)</f>
        <v>15.2</v>
      </c>
      <c r="M20" s="87">
        <f>L20/K20*100</f>
        <v>58.46153846153845</v>
      </c>
      <c r="N20" s="87">
        <f>SUM(N21:N31)</f>
        <v>131303.81600000002</v>
      </c>
      <c r="O20" s="87">
        <f>N20*0.3</f>
        <v>39391.1448</v>
      </c>
      <c r="P20" s="87">
        <f>SUM(N20:O20)</f>
        <v>170694.96080000003</v>
      </c>
      <c r="Q20" s="87">
        <f>SUM(Q21:Q31)</f>
        <v>0</v>
      </c>
      <c r="R20" s="101">
        <f t="shared" si="2"/>
        <v>-131303.81600000002</v>
      </c>
      <c r="S20" s="87">
        <f>SUM(S21:S31)</f>
        <v>26</v>
      </c>
      <c r="T20" s="87">
        <f>SUM(T21:T31)</f>
        <v>18</v>
      </c>
      <c r="U20" s="87">
        <f>T20/S20*100</f>
        <v>69.23076923076923</v>
      </c>
      <c r="V20" s="87">
        <f>154527.664516129-36910.7</f>
        <v>117616.96451612901</v>
      </c>
      <c r="W20" s="87">
        <f>V20*0.3</f>
        <v>35285.0893548387</v>
      </c>
      <c r="X20" s="87">
        <f>SUM(V20:W20)</f>
        <v>152902.0538709677</v>
      </c>
      <c r="Y20" s="87">
        <f>SUM(Y21:Y31)</f>
        <v>0</v>
      </c>
      <c r="Z20" s="101">
        <f t="shared" si="4"/>
        <v>-117616.96451612901</v>
      </c>
      <c r="AA20" s="87">
        <f>SUM(AA21:AA31)</f>
        <v>32.2</v>
      </c>
      <c r="AB20" s="87">
        <f>SUM(AB21:AB31)</f>
        <v>18.7</v>
      </c>
      <c r="AC20" s="87">
        <f>AB20/AA20*100</f>
        <v>58.074534161490675</v>
      </c>
      <c r="AD20" s="87">
        <f>SUM(AD21:AD31)</f>
        <v>119460.54000000001</v>
      </c>
      <c r="AE20" s="87">
        <f>AD20*0.3</f>
        <v>35838.162000000004</v>
      </c>
      <c r="AF20" s="87">
        <f>SUM(AD20:AE20)</f>
        <v>155298.70200000002</v>
      </c>
      <c r="AG20" s="87">
        <f>SUM(AG21:AG31)</f>
        <v>0</v>
      </c>
      <c r="AH20" s="101">
        <f t="shared" si="6"/>
        <v>-119460.54000000001</v>
      </c>
      <c r="AI20" s="87">
        <f>SUM(AI21:AI31)</f>
        <v>25</v>
      </c>
      <c r="AJ20" s="87">
        <f>SUM(AJ21:AJ31)</f>
        <v>13.049999999999999</v>
      </c>
      <c r="AK20" s="87">
        <f>AJ20/AI20*100</f>
        <v>52.19999999999999</v>
      </c>
      <c r="AL20" s="87">
        <f>SUM(AL21:AL31)</f>
        <v>109565.74909090908</v>
      </c>
      <c r="AM20" s="87">
        <f>AL20*0.3</f>
        <v>32869.724727272725</v>
      </c>
      <c r="AN20" s="87">
        <f>SUM(AL20:AM20)</f>
        <v>142435.4738181818</v>
      </c>
      <c r="AO20" s="87">
        <f>SUM(AO21:AO31)</f>
        <v>0</v>
      </c>
      <c r="AP20" s="101">
        <f t="shared" si="7"/>
        <v>-109565.74909090908</v>
      </c>
    </row>
    <row r="21" spans="1:42" s="3" customFormat="1" ht="18.75" customHeight="1" hidden="1">
      <c r="A21" s="102">
        <v>1</v>
      </c>
      <c r="B21" s="104" t="s">
        <v>80</v>
      </c>
      <c r="C21" s="83">
        <f aca="true" t="shared" si="24" ref="C21:C31">K21+S21+AA21+AI21</f>
        <v>22.7</v>
      </c>
      <c r="D21" s="83">
        <f aca="true" t="shared" si="25" ref="D21:D31">L21+T21+AB21+AJ21</f>
        <v>22.7</v>
      </c>
      <c r="E21" s="86">
        <f>D21/C21*100</f>
        <v>100</v>
      </c>
      <c r="F21" s="87">
        <f t="shared" si="23"/>
        <v>45367.5</v>
      </c>
      <c r="G21" s="87">
        <f aca="true" t="shared" si="26" ref="G21:G31">O21+W21+AE21+AM21</f>
        <v>13610.25</v>
      </c>
      <c r="H21" s="87">
        <f>SUM(F21:G21)</f>
        <v>58977.75</v>
      </c>
      <c r="I21" s="83">
        <f aca="true" t="shared" si="27" ref="I21:I31">Q21+Y21+AG21+AO21</f>
        <v>0</v>
      </c>
      <c r="J21" s="101">
        <f t="shared" si="13"/>
        <v>-45367.5</v>
      </c>
      <c r="K21" s="95">
        <v>8</v>
      </c>
      <c r="L21" s="86">
        <v>7</v>
      </c>
      <c r="M21" s="86">
        <f>L21/K21*100</f>
        <v>87.5</v>
      </c>
      <c r="N21" s="87">
        <f>16949.9-4559.8</f>
        <v>12390.100000000002</v>
      </c>
      <c r="O21" s="87">
        <f>N21*0.3</f>
        <v>3717.0300000000007</v>
      </c>
      <c r="P21" s="87">
        <f>SUM(N21:O21)</f>
        <v>16107.130000000003</v>
      </c>
      <c r="Q21" s="57">
        <v>0</v>
      </c>
      <c r="R21" s="101">
        <f t="shared" si="2"/>
        <v>-12390.100000000002</v>
      </c>
      <c r="S21" s="95">
        <v>8</v>
      </c>
      <c r="T21" s="86">
        <v>7</v>
      </c>
      <c r="U21" s="86">
        <f>T21/S21*100</f>
        <v>87.5</v>
      </c>
      <c r="V21" s="87">
        <f>15500-4270.8</f>
        <v>11229.2</v>
      </c>
      <c r="W21" s="87">
        <f aca="true" t="shared" si="28" ref="W21:W37">V21*0.3</f>
        <v>3368.76</v>
      </c>
      <c r="X21" s="87">
        <f>SUM(V21:W21)</f>
        <v>14597.960000000001</v>
      </c>
      <c r="Y21" s="87">
        <v>0</v>
      </c>
      <c r="Z21" s="101">
        <f t="shared" si="4"/>
        <v>-11229.2</v>
      </c>
      <c r="AA21" s="87">
        <v>6.7</v>
      </c>
      <c r="AB21" s="87">
        <v>7</v>
      </c>
      <c r="AC21" s="87">
        <v>104.4776119402985</v>
      </c>
      <c r="AD21" s="87">
        <f>15800-4416.8</f>
        <v>11383.2</v>
      </c>
      <c r="AE21" s="87">
        <f>AD21*0.3</f>
        <v>3414.96</v>
      </c>
      <c r="AF21" s="87">
        <f>SUM(AD21:AE21)</f>
        <v>14798.16</v>
      </c>
      <c r="AG21" s="87">
        <v>0</v>
      </c>
      <c r="AH21" s="101">
        <f t="shared" si="6"/>
        <v>-11383.2</v>
      </c>
      <c r="AI21" s="87">
        <v>0</v>
      </c>
      <c r="AJ21" s="87">
        <v>1.7</v>
      </c>
      <c r="AK21" s="87">
        <v>0</v>
      </c>
      <c r="AL21" s="87">
        <f>14630-4265</f>
        <v>10365</v>
      </c>
      <c r="AM21" s="87">
        <f>AL21*0.3</f>
        <v>3109.5</v>
      </c>
      <c r="AN21" s="87">
        <f>SUM(AL21:AM21)</f>
        <v>13474.5</v>
      </c>
      <c r="AO21" s="57">
        <v>0</v>
      </c>
      <c r="AP21" s="101">
        <f t="shared" si="7"/>
        <v>-10365</v>
      </c>
    </row>
    <row r="22" spans="1:42" s="3" customFormat="1" ht="18.75" customHeight="1" hidden="1">
      <c r="A22" s="102">
        <v>2</v>
      </c>
      <c r="B22" s="104" t="s">
        <v>81</v>
      </c>
      <c r="C22" s="83">
        <f t="shared" si="24"/>
        <v>54.5</v>
      </c>
      <c r="D22" s="83">
        <f t="shared" si="25"/>
        <v>28.15</v>
      </c>
      <c r="E22" s="86">
        <f>D22/C22*100</f>
        <v>51.651376146788984</v>
      </c>
      <c r="F22" s="87">
        <f t="shared" si="23"/>
        <v>85813.70000000001</v>
      </c>
      <c r="G22" s="87">
        <f t="shared" si="26"/>
        <v>25744.109999999997</v>
      </c>
      <c r="H22" s="87">
        <f aca="true" t="shared" si="29" ref="H22:H48">SUM(F22:G22)</f>
        <v>111557.81000000001</v>
      </c>
      <c r="I22" s="83">
        <f t="shared" si="27"/>
        <v>0</v>
      </c>
      <c r="J22" s="101">
        <f t="shared" si="13"/>
        <v>-85813.70000000001</v>
      </c>
      <c r="K22" s="95">
        <v>10</v>
      </c>
      <c r="L22" s="86">
        <v>6.1</v>
      </c>
      <c r="M22" s="86">
        <f>L22/K22*100</f>
        <v>61</v>
      </c>
      <c r="N22" s="87">
        <f>32478-8962</f>
        <v>23516</v>
      </c>
      <c r="O22" s="87">
        <f aca="true" t="shared" si="30" ref="O22:O37">N22*0.3</f>
        <v>7054.8</v>
      </c>
      <c r="P22" s="87">
        <f aca="true" t="shared" si="31" ref="P22:P30">SUM(N22:O22)</f>
        <v>30570.8</v>
      </c>
      <c r="Q22" s="57">
        <v>0</v>
      </c>
      <c r="R22" s="101">
        <f t="shared" si="2"/>
        <v>-23516</v>
      </c>
      <c r="S22" s="95">
        <v>10</v>
      </c>
      <c r="T22" s="86">
        <v>7</v>
      </c>
      <c r="U22" s="86">
        <f>T22/S22*100</f>
        <v>70</v>
      </c>
      <c r="V22" s="87">
        <f>27751-7656.2</f>
        <v>20094.8</v>
      </c>
      <c r="W22" s="87">
        <f t="shared" si="28"/>
        <v>6028.44</v>
      </c>
      <c r="X22" s="87">
        <f aca="true" t="shared" si="32" ref="X22:X48">SUM(V22:W22)</f>
        <v>26123.239999999998</v>
      </c>
      <c r="Y22" s="87">
        <v>0</v>
      </c>
      <c r="Z22" s="101">
        <f t="shared" si="4"/>
        <v>-20094.8</v>
      </c>
      <c r="AA22" s="87">
        <v>17.5</v>
      </c>
      <c r="AB22" s="87">
        <v>7.7</v>
      </c>
      <c r="AC22" s="87">
        <v>44</v>
      </c>
      <c r="AD22" s="87">
        <f>31017-8962</f>
        <v>22055</v>
      </c>
      <c r="AE22" s="87">
        <f aca="true" t="shared" si="33" ref="AE22:AE37">AD22*0.3</f>
        <v>6616.5</v>
      </c>
      <c r="AF22" s="87">
        <f aca="true" t="shared" si="34" ref="AF22:AF48">SUM(AD22:AE22)</f>
        <v>28671.5</v>
      </c>
      <c r="AG22" s="87">
        <v>0</v>
      </c>
      <c r="AH22" s="101">
        <f t="shared" si="6"/>
        <v>-22055</v>
      </c>
      <c r="AI22" s="87">
        <v>17</v>
      </c>
      <c r="AJ22" s="87">
        <v>7.35</v>
      </c>
      <c r="AK22" s="87">
        <v>43.23529411764706</v>
      </c>
      <c r="AL22" s="87">
        <f>28303-8155.1</f>
        <v>20147.9</v>
      </c>
      <c r="AM22" s="87">
        <f aca="true" t="shared" si="35" ref="AM22:AM37">AL22*0.3</f>
        <v>6044.37</v>
      </c>
      <c r="AN22" s="87">
        <f aca="true" t="shared" si="36" ref="AN22:AN48">SUM(AL22:AM22)</f>
        <v>26192.27</v>
      </c>
      <c r="AO22" s="57">
        <v>0</v>
      </c>
      <c r="AP22" s="101">
        <f t="shared" si="7"/>
        <v>-20147.9</v>
      </c>
    </row>
    <row r="23" spans="1:42" s="3" customFormat="1" ht="18.75" customHeight="1" hidden="1">
      <c r="A23" s="102">
        <v>3</v>
      </c>
      <c r="B23" s="104" t="s">
        <v>82</v>
      </c>
      <c r="C23" s="83">
        <f t="shared" si="24"/>
        <v>0</v>
      </c>
      <c r="D23" s="83">
        <f t="shared" si="25"/>
        <v>0</v>
      </c>
      <c r="E23" s="86"/>
      <c r="F23" s="87">
        <f t="shared" si="23"/>
        <v>47061.58</v>
      </c>
      <c r="G23" s="87">
        <f t="shared" si="26"/>
        <v>14118.474</v>
      </c>
      <c r="H23" s="87">
        <f t="shared" si="29"/>
        <v>61180.054000000004</v>
      </c>
      <c r="I23" s="83">
        <f t="shared" si="27"/>
        <v>0</v>
      </c>
      <c r="J23" s="101">
        <f t="shared" si="13"/>
        <v>-47061.58</v>
      </c>
      <c r="K23" s="95">
        <v>0</v>
      </c>
      <c r="L23" s="86">
        <v>0</v>
      </c>
      <c r="M23" s="86">
        <v>0</v>
      </c>
      <c r="N23" s="87">
        <f>21096.8-7190.9</f>
        <v>13905.9</v>
      </c>
      <c r="O23" s="87">
        <f t="shared" si="30"/>
        <v>4171.7699999999995</v>
      </c>
      <c r="P23" s="87">
        <f t="shared" si="31"/>
        <v>18077.67</v>
      </c>
      <c r="Q23" s="57">
        <v>0</v>
      </c>
      <c r="R23" s="101">
        <f t="shared" si="2"/>
        <v>-13905.9</v>
      </c>
      <c r="S23" s="95">
        <v>0</v>
      </c>
      <c r="T23" s="86">
        <v>0</v>
      </c>
      <c r="U23" s="86">
        <v>0</v>
      </c>
      <c r="V23" s="87">
        <f>20365.8-8130.9</f>
        <v>12234.9</v>
      </c>
      <c r="W23" s="87">
        <f t="shared" si="28"/>
        <v>3670.47</v>
      </c>
      <c r="X23" s="87">
        <f t="shared" si="32"/>
        <v>15905.369999999999</v>
      </c>
      <c r="Y23" s="87">
        <v>0</v>
      </c>
      <c r="Z23" s="101">
        <f t="shared" si="4"/>
        <v>-12234.9</v>
      </c>
      <c r="AA23" s="87">
        <v>0</v>
      </c>
      <c r="AB23" s="87">
        <v>0</v>
      </c>
      <c r="AC23" s="87">
        <v>0</v>
      </c>
      <c r="AD23" s="87">
        <f>20669.04-9459.3</f>
        <v>11209.740000000002</v>
      </c>
      <c r="AE23" s="87">
        <f t="shared" si="33"/>
        <v>3362.9220000000005</v>
      </c>
      <c r="AF23" s="87">
        <f t="shared" si="34"/>
        <v>14572.662000000002</v>
      </c>
      <c r="AG23" s="87">
        <v>0</v>
      </c>
      <c r="AH23" s="101">
        <f t="shared" si="6"/>
        <v>-11209.740000000002</v>
      </c>
      <c r="AI23" s="87">
        <v>0</v>
      </c>
      <c r="AJ23" s="87">
        <v>0</v>
      </c>
      <c r="AK23" s="87">
        <v>0</v>
      </c>
      <c r="AL23" s="87">
        <f>18300.74-8589.7</f>
        <v>9711.04</v>
      </c>
      <c r="AM23" s="87">
        <f t="shared" si="35"/>
        <v>2913.3120000000004</v>
      </c>
      <c r="AN23" s="87">
        <f t="shared" si="36"/>
        <v>12624.352</v>
      </c>
      <c r="AO23" s="57">
        <v>0</v>
      </c>
      <c r="AP23" s="101">
        <f t="shared" si="7"/>
        <v>-9711.04</v>
      </c>
    </row>
    <row r="24" spans="1:42" s="3" customFormat="1" ht="18.75" customHeight="1" hidden="1">
      <c r="A24" s="102">
        <v>4</v>
      </c>
      <c r="B24" s="104" t="s">
        <v>83</v>
      </c>
      <c r="C24" s="83">
        <f t="shared" si="24"/>
        <v>32</v>
      </c>
      <c r="D24" s="83">
        <f t="shared" si="25"/>
        <v>14.1</v>
      </c>
      <c r="E24" s="86">
        <f>D24/C24*100</f>
        <v>44.0625</v>
      </c>
      <c r="F24" s="87">
        <f t="shared" si="23"/>
        <v>80341.69999999998</v>
      </c>
      <c r="G24" s="87">
        <f t="shared" si="26"/>
        <v>24102.51</v>
      </c>
      <c r="H24" s="87">
        <f t="shared" si="29"/>
        <v>104444.20999999998</v>
      </c>
      <c r="I24" s="83">
        <f t="shared" si="27"/>
        <v>0</v>
      </c>
      <c r="J24" s="101">
        <f t="shared" si="13"/>
        <v>-80341.69999999998</v>
      </c>
      <c r="K24" s="95">
        <v>8</v>
      </c>
      <c r="L24" s="86">
        <v>2.1</v>
      </c>
      <c r="M24" s="86">
        <f>L24/K24*100</f>
        <v>26.25</v>
      </c>
      <c r="N24" s="87">
        <f>27136-6630.4</f>
        <v>20505.6</v>
      </c>
      <c r="O24" s="87">
        <f t="shared" si="30"/>
        <v>6151.679999999999</v>
      </c>
      <c r="P24" s="87">
        <f t="shared" si="31"/>
        <v>26657.28</v>
      </c>
      <c r="Q24" s="57">
        <v>0</v>
      </c>
      <c r="R24" s="101">
        <f t="shared" si="2"/>
        <v>-20505.6</v>
      </c>
      <c r="S24" s="95">
        <v>8</v>
      </c>
      <c r="T24" s="86">
        <v>4</v>
      </c>
      <c r="U24" s="86">
        <f>T24/S24*100</f>
        <v>50</v>
      </c>
      <c r="V24" s="87">
        <f>25983.8-6314</f>
        <v>19669.8</v>
      </c>
      <c r="W24" s="87">
        <f t="shared" si="28"/>
        <v>5900.94</v>
      </c>
      <c r="X24" s="87">
        <f t="shared" si="32"/>
        <v>25570.739999999998</v>
      </c>
      <c r="Y24" s="87">
        <v>0</v>
      </c>
      <c r="Z24" s="101">
        <f t="shared" si="4"/>
        <v>-19669.8</v>
      </c>
      <c r="AA24" s="87">
        <v>8</v>
      </c>
      <c r="AB24" s="87">
        <v>4</v>
      </c>
      <c r="AC24" s="87">
        <v>50</v>
      </c>
      <c r="AD24" s="87">
        <f>27015.1-6630.4</f>
        <v>20384.699999999997</v>
      </c>
      <c r="AE24" s="87">
        <f t="shared" si="33"/>
        <v>6115.409999999999</v>
      </c>
      <c r="AF24" s="87">
        <f t="shared" si="34"/>
        <v>26500.109999999997</v>
      </c>
      <c r="AG24" s="87">
        <v>0</v>
      </c>
      <c r="AH24" s="101">
        <f t="shared" si="6"/>
        <v>-20384.699999999997</v>
      </c>
      <c r="AI24" s="87">
        <v>8</v>
      </c>
      <c r="AJ24" s="87">
        <v>4</v>
      </c>
      <c r="AK24" s="87">
        <v>50</v>
      </c>
      <c r="AL24" s="87">
        <f>26231.6-6450</f>
        <v>19781.6</v>
      </c>
      <c r="AM24" s="87">
        <f t="shared" si="35"/>
        <v>5934.48</v>
      </c>
      <c r="AN24" s="87">
        <f t="shared" si="36"/>
        <v>25716.079999999998</v>
      </c>
      <c r="AO24" s="57">
        <v>0</v>
      </c>
      <c r="AP24" s="101">
        <f t="shared" si="7"/>
        <v>-19781.6</v>
      </c>
    </row>
    <row r="25" spans="1:42" s="3" customFormat="1" ht="18.75" customHeight="1" hidden="1">
      <c r="A25" s="102">
        <v>5</v>
      </c>
      <c r="B25" s="104" t="s">
        <v>84</v>
      </c>
      <c r="C25" s="83">
        <f t="shared" si="24"/>
        <v>0</v>
      </c>
      <c r="D25" s="83">
        <f t="shared" si="25"/>
        <v>0</v>
      </c>
      <c r="E25" s="86"/>
      <c r="F25" s="87">
        <f t="shared" si="23"/>
        <v>54490.200000000004</v>
      </c>
      <c r="G25" s="87">
        <f t="shared" si="26"/>
        <v>16347.060000000001</v>
      </c>
      <c r="H25" s="87">
        <f t="shared" si="29"/>
        <v>70837.26000000001</v>
      </c>
      <c r="I25" s="83">
        <f t="shared" si="27"/>
        <v>0</v>
      </c>
      <c r="J25" s="101">
        <f t="shared" si="13"/>
        <v>-54490.200000000004</v>
      </c>
      <c r="K25" s="95">
        <v>0</v>
      </c>
      <c r="L25" s="86">
        <v>0</v>
      </c>
      <c r="M25" s="86">
        <v>0</v>
      </c>
      <c r="N25" s="87">
        <f>22153.2-4277.5</f>
        <v>17875.7</v>
      </c>
      <c r="O25" s="87">
        <f t="shared" si="30"/>
        <v>5362.71</v>
      </c>
      <c r="P25" s="87">
        <f t="shared" si="31"/>
        <v>23238.41</v>
      </c>
      <c r="Q25" s="57">
        <v>0</v>
      </c>
      <c r="R25" s="101">
        <f t="shared" si="2"/>
        <v>-17875.7</v>
      </c>
      <c r="S25" s="95">
        <v>0</v>
      </c>
      <c r="T25" s="86">
        <v>0</v>
      </c>
      <c r="U25" s="86">
        <v>0</v>
      </c>
      <c r="V25" s="87">
        <f>18325.5-4192</f>
        <v>14133.5</v>
      </c>
      <c r="W25" s="87">
        <f t="shared" si="28"/>
        <v>4240.05</v>
      </c>
      <c r="X25" s="87">
        <f t="shared" si="32"/>
        <v>18373.55</v>
      </c>
      <c r="Y25" s="87">
        <v>0</v>
      </c>
      <c r="Z25" s="101">
        <f t="shared" si="4"/>
        <v>-14133.5</v>
      </c>
      <c r="AA25" s="87">
        <v>0</v>
      </c>
      <c r="AB25" s="87">
        <v>0</v>
      </c>
      <c r="AC25" s="87">
        <v>0</v>
      </c>
      <c r="AD25" s="87">
        <f>16908.4-4257.5</f>
        <v>12650.900000000001</v>
      </c>
      <c r="AE25" s="87">
        <f t="shared" si="33"/>
        <v>3795.2700000000004</v>
      </c>
      <c r="AF25" s="87">
        <f t="shared" si="34"/>
        <v>16446.170000000002</v>
      </c>
      <c r="AG25" s="87">
        <v>0</v>
      </c>
      <c r="AH25" s="101">
        <f t="shared" si="6"/>
        <v>-12650.900000000001</v>
      </c>
      <c r="AI25" s="87">
        <v>0</v>
      </c>
      <c r="AJ25" s="87">
        <v>0</v>
      </c>
      <c r="AK25" s="87">
        <v>0</v>
      </c>
      <c r="AL25" s="87">
        <f>13682.1-3852</f>
        <v>9830.1</v>
      </c>
      <c r="AM25" s="87">
        <f t="shared" si="35"/>
        <v>2949.03</v>
      </c>
      <c r="AN25" s="87">
        <f t="shared" si="36"/>
        <v>12779.130000000001</v>
      </c>
      <c r="AO25" s="57">
        <v>0</v>
      </c>
      <c r="AP25" s="101">
        <f t="shared" si="7"/>
        <v>-9830.1</v>
      </c>
    </row>
    <row r="26" spans="1:42" s="3" customFormat="1" ht="18.75" customHeight="1" hidden="1">
      <c r="A26" s="102">
        <v>6</v>
      </c>
      <c r="B26" s="104" t="s">
        <v>85</v>
      </c>
      <c r="C26" s="83">
        <f t="shared" si="24"/>
        <v>0</v>
      </c>
      <c r="D26" s="83">
        <f t="shared" si="25"/>
        <v>0</v>
      </c>
      <c r="E26" s="86"/>
      <c r="F26" s="87">
        <f t="shared" si="23"/>
        <v>36228.9</v>
      </c>
      <c r="G26" s="87">
        <f t="shared" si="26"/>
        <v>10868.67</v>
      </c>
      <c r="H26" s="87">
        <f t="shared" si="29"/>
        <v>47097.57</v>
      </c>
      <c r="I26" s="83">
        <f t="shared" si="27"/>
        <v>0</v>
      </c>
      <c r="J26" s="101">
        <f t="shared" si="13"/>
        <v>-36228.9</v>
      </c>
      <c r="K26" s="95">
        <v>0</v>
      </c>
      <c r="L26" s="86">
        <v>0</v>
      </c>
      <c r="M26" s="86">
        <v>0</v>
      </c>
      <c r="N26" s="87">
        <f>11578-2435</f>
        <v>9143</v>
      </c>
      <c r="O26" s="87">
        <f t="shared" si="30"/>
        <v>2742.9</v>
      </c>
      <c r="P26" s="87">
        <f t="shared" si="31"/>
        <v>11885.9</v>
      </c>
      <c r="Q26" s="57">
        <v>0</v>
      </c>
      <c r="R26" s="101">
        <f t="shared" si="2"/>
        <v>-9143</v>
      </c>
      <c r="S26" s="95">
        <v>0</v>
      </c>
      <c r="T26" s="86">
        <v>0</v>
      </c>
      <c r="U26" s="86">
        <v>0</v>
      </c>
      <c r="V26" s="87">
        <f>11320.9-2400</f>
        <v>8920.9</v>
      </c>
      <c r="W26" s="87">
        <f t="shared" si="28"/>
        <v>2676.27</v>
      </c>
      <c r="X26" s="87">
        <f t="shared" si="32"/>
        <v>11597.17</v>
      </c>
      <c r="Y26" s="87">
        <v>0</v>
      </c>
      <c r="Z26" s="101">
        <f t="shared" si="4"/>
        <v>-8920.9</v>
      </c>
      <c r="AA26" s="87">
        <v>0</v>
      </c>
      <c r="AB26" s="87">
        <v>0</v>
      </c>
      <c r="AC26" s="87">
        <v>0</v>
      </c>
      <c r="AD26" s="87">
        <f>11552.2-2400</f>
        <v>9152.2</v>
      </c>
      <c r="AE26" s="87">
        <f t="shared" si="33"/>
        <v>2745.6600000000003</v>
      </c>
      <c r="AF26" s="87">
        <f t="shared" si="34"/>
        <v>11897.86</v>
      </c>
      <c r="AG26" s="87">
        <v>0</v>
      </c>
      <c r="AH26" s="101">
        <f t="shared" si="6"/>
        <v>-9152.2</v>
      </c>
      <c r="AI26" s="87">
        <v>0</v>
      </c>
      <c r="AJ26" s="87">
        <v>0</v>
      </c>
      <c r="AK26" s="87">
        <v>0</v>
      </c>
      <c r="AL26" s="87">
        <f>11412.8-2400</f>
        <v>9012.8</v>
      </c>
      <c r="AM26" s="87">
        <f t="shared" si="35"/>
        <v>2703.8399999999997</v>
      </c>
      <c r="AN26" s="87">
        <f t="shared" si="36"/>
        <v>11716.64</v>
      </c>
      <c r="AO26" s="57">
        <v>0</v>
      </c>
      <c r="AP26" s="101">
        <f t="shared" si="7"/>
        <v>-9012.8</v>
      </c>
    </row>
    <row r="27" spans="1:42" s="3" customFormat="1" ht="18.75" customHeight="1" hidden="1">
      <c r="A27" s="102">
        <v>7</v>
      </c>
      <c r="B27" s="104" t="s">
        <v>86</v>
      </c>
      <c r="C27" s="83">
        <f t="shared" si="24"/>
        <v>0</v>
      </c>
      <c r="D27" s="83">
        <f t="shared" si="25"/>
        <v>0</v>
      </c>
      <c r="E27" s="86"/>
      <c r="F27" s="87">
        <f t="shared" si="23"/>
        <v>21690.62509090909</v>
      </c>
      <c r="G27" s="87">
        <f t="shared" si="26"/>
        <v>6507.187527272727</v>
      </c>
      <c r="H27" s="87">
        <f t="shared" si="29"/>
        <v>28197.812618181815</v>
      </c>
      <c r="I27" s="83">
        <f t="shared" si="27"/>
        <v>0</v>
      </c>
      <c r="J27" s="101">
        <f t="shared" si="13"/>
        <v>-21690.62509090909</v>
      </c>
      <c r="K27" s="95">
        <v>0</v>
      </c>
      <c r="L27" s="86">
        <v>0</v>
      </c>
      <c r="M27" s="86">
        <v>0</v>
      </c>
      <c r="N27" s="87">
        <f>6874.916-1115.5</f>
        <v>5759.416</v>
      </c>
      <c r="O27" s="87">
        <f t="shared" si="30"/>
        <v>1727.8248</v>
      </c>
      <c r="P27" s="87">
        <f t="shared" si="31"/>
        <v>7487.2408000000005</v>
      </c>
      <c r="Q27" s="57">
        <v>0</v>
      </c>
      <c r="R27" s="101">
        <f t="shared" si="2"/>
        <v>-5759.416</v>
      </c>
      <c r="S27" s="95">
        <v>0</v>
      </c>
      <c r="T27" s="86">
        <v>0</v>
      </c>
      <c r="U27" s="86">
        <v>0</v>
      </c>
      <c r="V27" s="87">
        <v>5215.899999999998</v>
      </c>
      <c r="W27" s="87">
        <f t="shared" si="28"/>
        <v>1564.7699999999993</v>
      </c>
      <c r="X27" s="87">
        <f t="shared" si="32"/>
        <v>6780.669999999997</v>
      </c>
      <c r="Y27" s="87">
        <v>0</v>
      </c>
      <c r="Z27" s="101">
        <f t="shared" si="4"/>
        <v>-5215.899999999998</v>
      </c>
      <c r="AA27" s="87">
        <v>0</v>
      </c>
      <c r="AB27" s="87">
        <v>0</v>
      </c>
      <c r="AC27" s="87">
        <v>0</v>
      </c>
      <c r="AD27" s="87">
        <v>5820.000000000004</v>
      </c>
      <c r="AE27" s="87">
        <f t="shared" si="33"/>
        <v>1746.0000000000011</v>
      </c>
      <c r="AF27" s="87">
        <f t="shared" si="34"/>
        <v>7566.000000000005</v>
      </c>
      <c r="AG27" s="87">
        <v>0</v>
      </c>
      <c r="AH27" s="101">
        <f t="shared" si="6"/>
        <v>-5820.000000000004</v>
      </c>
      <c r="AI27" s="87">
        <v>0</v>
      </c>
      <c r="AJ27" s="87">
        <v>0</v>
      </c>
      <c r="AK27" s="87">
        <v>0</v>
      </c>
      <c r="AL27" s="87">
        <v>4895.309090909086</v>
      </c>
      <c r="AM27" s="87">
        <f t="shared" si="35"/>
        <v>1468.5927272727258</v>
      </c>
      <c r="AN27" s="87">
        <f t="shared" si="36"/>
        <v>6363.901818181812</v>
      </c>
      <c r="AO27" s="57">
        <v>0</v>
      </c>
      <c r="AP27" s="101">
        <f t="shared" si="7"/>
        <v>-4895.309090909086</v>
      </c>
    </row>
    <row r="28" spans="1:42" s="3" customFormat="1" ht="18.75" customHeight="1" hidden="1">
      <c r="A28" s="102">
        <v>8</v>
      </c>
      <c r="B28" s="104" t="s">
        <v>87</v>
      </c>
      <c r="C28" s="83">
        <f t="shared" si="24"/>
        <v>0</v>
      </c>
      <c r="D28" s="83">
        <f t="shared" si="25"/>
        <v>0</v>
      </c>
      <c r="E28" s="86"/>
      <c r="F28" s="87">
        <f t="shared" si="23"/>
        <v>16594.9</v>
      </c>
      <c r="G28" s="87">
        <f t="shared" si="26"/>
        <v>4978.47</v>
      </c>
      <c r="H28" s="87">
        <f t="shared" si="29"/>
        <v>21573.370000000003</v>
      </c>
      <c r="I28" s="83">
        <f t="shared" si="27"/>
        <v>0</v>
      </c>
      <c r="J28" s="101">
        <f t="shared" si="13"/>
        <v>-16594.9</v>
      </c>
      <c r="K28" s="95">
        <v>0</v>
      </c>
      <c r="L28" s="86">
        <v>0</v>
      </c>
      <c r="M28" s="86">
        <v>0</v>
      </c>
      <c r="N28" s="87">
        <f>5220-946.2</f>
        <v>4273.8</v>
      </c>
      <c r="O28" s="87">
        <f t="shared" si="30"/>
        <v>1282.14</v>
      </c>
      <c r="P28" s="87">
        <f t="shared" si="31"/>
        <v>5555.9400000000005</v>
      </c>
      <c r="Q28" s="57">
        <v>0</v>
      </c>
      <c r="R28" s="101">
        <f t="shared" si="2"/>
        <v>-4273.8</v>
      </c>
      <c r="S28" s="95">
        <v>0</v>
      </c>
      <c r="T28" s="86">
        <v>0</v>
      </c>
      <c r="U28" s="86">
        <v>0</v>
      </c>
      <c r="V28" s="87">
        <v>4186.1</v>
      </c>
      <c r="W28" s="87">
        <f t="shared" si="28"/>
        <v>1255.8300000000002</v>
      </c>
      <c r="X28" s="87">
        <f t="shared" si="32"/>
        <v>5441.93</v>
      </c>
      <c r="Y28" s="87">
        <v>0</v>
      </c>
      <c r="Z28" s="101">
        <f t="shared" si="4"/>
        <v>-4186.1</v>
      </c>
      <c r="AA28" s="87">
        <v>0</v>
      </c>
      <c r="AB28" s="87">
        <v>0</v>
      </c>
      <c r="AC28" s="87">
        <v>0</v>
      </c>
      <c r="AD28" s="87">
        <v>4274.5</v>
      </c>
      <c r="AE28" s="87">
        <f t="shared" si="33"/>
        <v>1282.35</v>
      </c>
      <c r="AF28" s="87">
        <f t="shared" si="34"/>
        <v>5556.85</v>
      </c>
      <c r="AG28" s="87">
        <v>0</v>
      </c>
      <c r="AH28" s="101">
        <f t="shared" si="6"/>
        <v>-4274.5</v>
      </c>
      <c r="AI28" s="87">
        <v>0</v>
      </c>
      <c r="AJ28" s="87">
        <v>0</v>
      </c>
      <c r="AK28" s="87">
        <v>0</v>
      </c>
      <c r="AL28" s="87">
        <v>3860.5</v>
      </c>
      <c r="AM28" s="87">
        <f t="shared" si="35"/>
        <v>1158.1499999999999</v>
      </c>
      <c r="AN28" s="87">
        <f t="shared" si="36"/>
        <v>5018.65</v>
      </c>
      <c r="AO28" s="57">
        <v>0</v>
      </c>
      <c r="AP28" s="101">
        <f t="shared" si="7"/>
        <v>-3860.5</v>
      </c>
    </row>
    <row r="29" spans="1:42" s="3" customFormat="1" ht="18.75" customHeight="1" hidden="1">
      <c r="A29" s="102">
        <v>9</v>
      </c>
      <c r="B29" s="104" t="s">
        <v>88</v>
      </c>
      <c r="C29" s="83">
        <f t="shared" si="24"/>
        <v>0</v>
      </c>
      <c r="D29" s="83">
        <f t="shared" si="25"/>
        <v>0</v>
      </c>
      <c r="E29" s="86"/>
      <c r="F29" s="87">
        <f t="shared" si="23"/>
        <v>8223.4</v>
      </c>
      <c r="G29" s="87">
        <f t="shared" si="26"/>
        <v>2467.02</v>
      </c>
      <c r="H29" s="87">
        <f t="shared" si="29"/>
        <v>10690.42</v>
      </c>
      <c r="I29" s="83">
        <f t="shared" si="27"/>
        <v>0</v>
      </c>
      <c r="J29" s="101">
        <f t="shared" si="13"/>
        <v>-8223.4</v>
      </c>
      <c r="K29" s="95">
        <v>0</v>
      </c>
      <c r="L29" s="86">
        <v>0</v>
      </c>
      <c r="M29" s="86">
        <v>0</v>
      </c>
      <c r="N29" s="87">
        <f>2671-687.4</f>
        <v>1983.6</v>
      </c>
      <c r="O29" s="87">
        <f t="shared" si="30"/>
        <v>595.0799999999999</v>
      </c>
      <c r="P29" s="87">
        <f t="shared" si="31"/>
        <v>2578.68</v>
      </c>
      <c r="Q29" s="57">
        <v>0</v>
      </c>
      <c r="R29" s="101">
        <f t="shared" si="2"/>
        <v>-1983.6</v>
      </c>
      <c r="S29" s="95">
        <v>0</v>
      </c>
      <c r="T29" s="86">
        <v>0</v>
      </c>
      <c r="U29" s="86">
        <v>0</v>
      </c>
      <c r="V29" s="87">
        <v>1992.3</v>
      </c>
      <c r="W29" s="87">
        <f t="shared" si="28"/>
        <v>597.6899999999999</v>
      </c>
      <c r="X29" s="87">
        <f t="shared" si="32"/>
        <v>2589.99</v>
      </c>
      <c r="Y29" s="87">
        <v>0</v>
      </c>
      <c r="Z29" s="101">
        <f t="shared" si="4"/>
        <v>-1992.3</v>
      </c>
      <c r="AA29" s="87">
        <v>0</v>
      </c>
      <c r="AB29" s="87">
        <v>0</v>
      </c>
      <c r="AC29" s="87">
        <v>0</v>
      </c>
      <c r="AD29" s="87">
        <v>2200.6</v>
      </c>
      <c r="AE29" s="87">
        <f t="shared" si="33"/>
        <v>660.18</v>
      </c>
      <c r="AF29" s="87">
        <f t="shared" si="34"/>
        <v>2860.7799999999997</v>
      </c>
      <c r="AG29" s="87">
        <v>0</v>
      </c>
      <c r="AH29" s="101">
        <f t="shared" si="6"/>
        <v>-2200.6</v>
      </c>
      <c r="AI29" s="87">
        <v>0</v>
      </c>
      <c r="AJ29" s="87">
        <v>0</v>
      </c>
      <c r="AK29" s="87">
        <v>0</v>
      </c>
      <c r="AL29" s="87">
        <v>2046.9</v>
      </c>
      <c r="AM29" s="87">
        <f t="shared" si="35"/>
        <v>614.07</v>
      </c>
      <c r="AN29" s="87">
        <f t="shared" si="36"/>
        <v>2660.9700000000003</v>
      </c>
      <c r="AO29" s="57">
        <v>0</v>
      </c>
      <c r="AP29" s="101">
        <f t="shared" si="7"/>
        <v>-2046.9</v>
      </c>
    </row>
    <row r="30" spans="1:42" s="3" customFormat="1" ht="18.75" customHeight="1" hidden="1">
      <c r="A30" s="102">
        <v>10</v>
      </c>
      <c r="B30" s="104" t="s">
        <v>74</v>
      </c>
      <c r="C30" s="83">
        <f t="shared" si="24"/>
        <v>0</v>
      </c>
      <c r="D30" s="83">
        <f t="shared" si="25"/>
        <v>0</v>
      </c>
      <c r="E30" s="86"/>
      <c r="F30" s="87">
        <f t="shared" si="23"/>
        <v>34863.5</v>
      </c>
      <c r="G30" s="87">
        <f t="shared" si="26"/>
        <v>10459.05</v>
      </c>
      <c r="H30" s="87">
        <f t="shared" si="29"/>
        <v>45322.55</v>
      </c>
      <c r="I30" s="83">
        <f t="shared" si="27"/>
        <v>0</v>
      </c>
      <c r="J30" s="101">
        <f t="shared" si="13"/>
        <v>-34863.5</v>
      </c>
      <c r="K30" s="95">
        <v>0</v>
      </c>
      <c r="L30" s="86">
        <v>0</v>
      </c>
      <c r="M30" s="86">
        <v>0</v>
      </c>
      <c r="N30" s="87">
        <f>10757-902.9</f>
        <v>9854.1</v>
      </c>
      <c r="O30" s="87">
        <f t="shared" si="30"/>
        <v>2956.23</v>
      </c>
      <c r="P30" s="87">
        <f t="shared" si="31"/>
        <v>12810.33</v>
      </c>
      <c r="Q30" s="57">
        <v>0</v>
      </c>
      <c r="R30" s="101">
        <f t="shared" si="2"/>
        <v>-9854.1</v>
      </c>
      <c r="S30" s="95">
        <v>0</v>
      </c>
      <c r="T30" s="86">
        <v>0</v>
      </c>
      <c r="U30" s="86">
        <v>0</v>
      </c>
      <c r="V30" s="87">
        <v>8256.8</v>
      </c>
      <c r="W30" s="87">
        <f t="shared" si="28"/>
        <v>2477.0399999999995</v>
      </c>
      <c r="X30" s="87">
        <f t="shared" si="32"/>
        <v>10733.839999999998</v>
      </c>
      <c r="Y30" s="87">
        <v>0</v>
      </c>
      <c r="Z30" s="101">
        <f t="shared" si="4"/>
        <v>-8256.8</v>
      </c>
      <c r="AA30" s="87">
        <v>0</v>
      </c>
      <c r="AB30" s="87">
        <v>0</v>
      </c>
      <c r="AC30" s="87">
        <v>0</v>
      </c>
      <c r="AD30" s="87">
        <v>8541.8</v>
      </c>
      <c r="AE30" s="87">
        <f t="shared" si="33"/>
        <v>2562.5399999999995</v>
      </c>
      <c r="AF30" s="87">
        <f t="shared" si="34"/>
        <v>11104.339999999998</v>
      </c>
      <c r="AG30" s="87">
        <v>0</v>
      </c>
      <c r="AH30" s="101">
        <f t="shared" si="6"/>
        <v>-8541.8</v>
      </c>
      <c r="AI30" s="87">
        <v>0</v>
      </c>
      <c r="AJ30" s="87">
        <v>0</v>
      </c>
      <c r="AK30" s="87">
        <v>0</v>
      </c>
      <c r="AL30" s="87">
        <v>8210.8</v>
      </c>
      <c r="AM30" s="87">
        <f t="shared" si="35"/>
        <v>2463.24</v>
      </c>
      <c r="AN30" s="87">
        <f t="shared" si="36"/>
        <v>10674.039999999999</v>
      </c>
      <c r="AO30" s="57">
        <v>0</v>
      </c>
      <c r="AP30" s="101">
        <f t="shared" si="7"/>
        <v>-8210.8</v>
      </c>
    </row>
    <row r="31" spans="1:42" s="13" customFormat="1" ht="18.75" customHeight="1" hidden="1">
      <c r="A31" s="102">
        <v>11</v>
      </c>
      <c r="B31" s="104" t="s">
        <v>89</v>
      </c>
      <c r="C31" s="83">
        <f t="shared" si="24"/>
        <v>0</v>
      </c>
      <c r="D31" s="83">
        <f t="shared" si="25"/>
        <v>0</v>
      </c>
      <c r="E31" s="86"/>
      <c r="F31" s="87">
        <f t="shared" si="23"/>
        <v>47271.100000000006</v>
      </c>
      <c r="G31" s="87">
        <f t="shared" si="26"/>
        <v>14181.329999999998</v>
      </c>
      <c r="H31" s="87">
        <f t="shared" si="29"/>
        <v>61452.43000000001</v>
      </c>
      <c r="I31" s="83">
        <f t="shared" si="27"/>
        <v>0</v>
      </c>
      <c r="J31" s="101">
        <f t="shared" si="13"/>
        <v>-47271.100000000006</v>
      </c>
      <c r="K31" s="95">
        <v>0</v>
      </c>
      <c r="L31" s="86">
        <v>0</v>
      </c>
      <c r="M31" s="86">
        <v>0</v>
      </c>
      <c r="N31" s="87">
        <f>12256.9-160.3</f>
        <v>12096.6</v>
      </c>
      <c r="O31" s="87">
        <f t="shared" si="30"/>
        <v>3628.98</v>
      </c>
      <c r="P31" s="87">
        <f>SUM(N31:O31)</f>
        <v>15725.58</v>
      </c>
      <c r="Q31" s="57">
        <v>0</v>
      </c>
      <c r="R31" s="101">
        <f t="shared" si="2"/>
        <v>-12096.6</v>
      </c>
      <c r="S31" s="95">
        <v>0</v>
      </c>
      <c r="T31" s="86">
        <v>0</v>
      </c>
      <c r="U31" s="86">
        <v>0</v>
      </c>
      <c r="V31" s="87">
        <v>11682.800000000001</v>
      </c>
      <c r="W31" s="87">
        <f t="shared" si="28"/>
        <v>3504.84</v>
      </c>
      <c r="X31" s="87">
        <f t="shared" si="32"/>
        <v>15187.640000000001</v>
      </c>
      <c r="Y31" s="87">
        <v>0</v>
      </c>
      <c r="Z31" s="101">
        <f t="shared" si="4"/>
        <v>-11682.800000000001</v>
      </c>
      <c r="AA31" s="87">
        <v>0</v>
      </c>
      <c r="AB31" s="87">
        <v>0</v>
      </c>
      <c r="AC31" s="87">
        <v>0</v>
      </c>
      <c r="AD31" s="87">
        <v>11787.9</v>
      </c>
      <c r="AE31" s="87">
        <f t="shared" si="33"/>
        <v>3536.37</v>
      </c>
      <c r="AF31" s="87">
        <f t="shared" si="34"/>
        <v>15324.27</v>
      </c>
      <c r="AG31" s="87">
        <v>0</v>
      </c>
      <c r="AH31" s="101">
        <f t="shared" si="6"/>
        <v>-11787.9</v>
      </c>
      <c r="AI31" s="87">
        <v>0</v>
      </c>
      <c r="AJ31" s="87">
        <v>0</v>
      </c>
      <c r="AK31" s="87">
        <v>0</v>
      </c>
      <c r="AL31" s="87">
        <v>11703.800000000001</v>
      </c>
      <c r="AM31" s="87">
        <f t="shared" si="35"/>
        <v>3511.1400000000003</v>
      </c>
      <c r="AN31" s="87">
        <f t="shared" si="36"/>
        <v>15214.940000000002</v>
      </c>
      <c r="AO31" s="57">
        <v>0</v>
      </c>
      <c r="AP31" s="101">
        <f t="shared" si="7"/>
        <v>-11703.800000000001</v>
      </c>
    </row>
    <row r="32" spans="1:42" s="3" customFormat="1" ht="37.5">
      <c r="A32" s="96" t="s">
        <v>4</v>
      </c>
      <c r="B32" s="97" t="s">
        <v>7</v>
      </c>
      <c r="C32" s="87">
        <f>SUM(C33:C48)</f>
        <v>171.9</v>
      </c>
      <c r="D32" s="87">
        <f>SUM(D33:D48)</f>
        <v>178.561</v>
      </c>
      <c r="E32" s="87">
        <f>D32/C32*100</f>
        <v>103.87492728330426</v>
      </c>
      <c r="F32" s="87">
        <f t="shared" si="23"/>
        <v>849346.44</v>
      </c>
      <c r="G32" s="87">
        <f>F32*0.3</f>
        <v>254803.93199999997</v>
      </c>
      <c r="H32" s="87">
        <f>SUM(F32:G32)</f>
        <v>1104150.372</v>
      </c>
      <c r="I32" s="87">
        <f>SUM(I33:I48)</f>
        <v>0</v>
      </c>
      <c r="J32" s="101">
        <f t="shared" si="13"/>
        <v>-849346.44</v>
      </c>
      <c r="K32" s="87">
        <f>SUM(K33:K48)</f>
        <v>36.2</v>
      </c>
      <c r="L32" s="87">
        <f>SUM(L33:L48)</f>
        <v>39.632</v>
      </c>
      <c r="M32" s="87">
        <f>L32/K32*100</f>
        <v>109.4806629834254</v>
      </c>
      <c r="N32" s="87">
        <f>SUM(N33:N48)</f>
        <v>220220.93999999997</v>
      </c>
      <c r="O32" s="87">
        <f t="shared" si="30"/>
        <v>66066.28199999999</v>
      </c>
      <c r="P32" s="87">
        <f>SUM(N32:O32)</f>
        <v>286287.22199999995</v>
      </c>
      <c r="Q32" s="87">
        <f>SUM(Q33:Q48)</f>
        <v>0</v>
      </c>
      <c r="R32" s="101">
        <f t="shared" si="2"/>
        <v>-220220.93999999997</v>
      </c>
      <c r="S32" s="87">
        <f>SUM(S33:S48)</f>
        <v>34.4</v>
      </c>
      <c r="T32" s="87">
        <f>SUM(T33:T48)</f>
        <v>37.629000000000005</v>
      </c>
      <c r="U32" s="87">
        <f>T32/S32*100</f>
        <v>109.38662790697676</v>
      </c>
      <c r="V32" s="87">
        <f>SUM(V33:V48)</f>
        <v>200334.69999999998</v>
      </c>
      <c r="W32" s="87">
        <f t="shared" si="28"/>
        <v>60100.40999999999</v>
      </c>
      <c r="X32" s="87">
        <f>SUM(V32:W32)</f>
        <v>260435.11</v>
      </c>
      <c r="Y32" s="87">
        <f>SUM(Y33:Y48)</f>
        <v>0</v>
      </c>
      <c r="Z32" s="101">
        <f t="shared" si="4"/>
        <v>-200334.69999999998</v>
      </c>
      <c r="AA32" s="87">
        <f>SUM(AA33:AA48)</f>
        <v>45.900000000000006</v>
      </c>
      <c r="AB32" s="87">
        <f>SUM(AB33:AB48)</f>
        <v>45.900000000000006</v>
      </c>
      <c r="AC32" s="87">
        <f>AB32/AA32*100</f>
        <v>100</v>
      </c>
      <c r="AD32" s="87">
        <f>SUM(AD33:AD48)</f>
        <v>216289.29999999996</v>
      </c>
      <c r="AE32" s="87">
        <f t="shared" si="33"/>
        <v>64886.789999999986</v>
      </c>
      <c r="AF32" s="87">
        <f>SUM(AD32:AE32)</f>
        <v>281176.08999999997</v>
      </c>
      <c r="AG32" s="87">
        <f>SUM(AG33:AG48)</f>
        <v>0</v>
      </c>
      <c r="AH32" s="101">
        <f t="shared" si="6"/>
        <v>-216289.29999999996</v>
      </c>
      <c r="AI32" s="87">
        <f>SUM(AI33:AI48)</f>
        <v>55.400000000000006</v>
      </c>
      <c r="AJ32" s="87">
        <f>SUM(AJ33:AJ48)</f>
        <v>55.400000000000006</v>
      </c>
      <c r="AK32" s="87">
        <f>AJ32/AI32*100</f>
        <v>100</v>
      </c>
      <c r="AL32" s="87">
        <f>SUM(AL33:AL48)</f>
        <v>212501.49999999994</v>
      </c>
      <c r="AM32" s="87">
        <f t="shared" si="35"/>
        <v>63750.44999999998</v>
      </c>
      <c r="AN32" s="87">
        <f>SUM(AL32:AM32)</f>
        <v>276251.94999999995</v>
      </c>
      <c r="AO32" s="87">
        <f>SUM(AO33:AO48)</f>
        <v>0</v>
      </c>
      <c r="AP32" s="101">
        <f t="shared" si="7"/>
        <v>-212501.49999999994</v>
      </c>
    </row>
    <row r="33" spans="1:42" s="3" customFormat="1" ht="18.75" customHeight="1" hidden="1">
      <c r="A33" s="105">
        <v>1</v>
      </c>
      <c r="B33" s="103" t="s">
        <v>90</v>
      </c>
      <c r="C33" s="83">
        <f aca="true" t="shared" si="37" ref="C33:C52">K33+S33+AA33+AI33</f>
        <v>55.7</v>
      </c>
      <c r="D33" s="83">
        <f aca="true" t="shared" si="38" ref="D33:D52">L33+T33+AB33+AJ33</f>
        <v>58.400000000000006</v>
      </c>
      <c r="E33" s="83"/>
      <c r="F33" s="83">
        <f t="shared" si="23"/>
        <v>188481.49000000002</v>
      </c>
      <c r="G33" s="83">
        <f aca="true" t="shared" si="39" ref="G33:G52">O33+W33+AE33+AM33</f>
        <v>56544.447</v>
      </c>
      <c r="H33" s="57">
        <f>SUM(F33:G33)</f>
        <v>245025.93700000003</v>
      </c>
      <c r="I33" s="83">
        <f aca="true" t="shared" si="40" ref="I33:I52">Q33+Y33+AG33+AO33</f>
        <v>0</v>
      </c>
      <c r="J33" s="101">
        <f t="shared" si="13"/>
        <v>-188481.49000000002</v>
      </c>
      <c r="K33" s="86">
        <v>14.3</v>
      </c>
      <c r="L33" s="86">
        <v>17.2</v>
      </c>
      <c r="M33" s="87">
        <f aca="true" t="shared" si="41" ref="M33:M52">L33/K33*100</f>
        <v>120.27972027972027</v>
      </c>
      <c r="N33" s="86">
        <v>51240.69</v>
      </c>
      <c r="O33" s="86">
        <f t="shared" si="30"/>
        <v>15372.207</v>
      </c>
      <c r="P33" s="50">
        <f t="shared" si="16"/>
        <v>66612.897</v>
      </c>
      <c r="Q33" s="57">
        <v>0</v>
      </c>
      <c r="R33" s="101">
        <f t="shared" si="2"/>
        <v>-51240.69</v>
      </c>
      <c r="S33" s="86">
        <v>13.1</v>
      </c>
      <c r="T33" s="86">
        <v>12.9</v>
      </c>
      <c r="U33" s="87">
        <f aca="true" t="shared" si="42" ref="U33:U52">T33/S33*100</f>
        <v>98.4732824427481</v>
      </c>
      <c r="V33" s="86">
        <v>44746.200000000004</v>
      </c>
      <c r="W33" s="86">
        <f t="shared" si="28"/>
        <v>13423.86</v>
      </c>
      <c r="X33" s="46">
        <f t="shared" si="32"/>
        <v>58170.060000000005</v>
      </c>
      <c r="Y33" s="57">
        <v>0</v>
      </c>
      <c r="Z33" s="101">
        <f t="shared" si="4"/>
        <v>-44746.200000000004</v>
      </c>
      <c r="AA33" s="86">
        <v>14.3</v>
      </c>
      <c r="AB33" s="86">
        <v>14.3</v>
      </c>
      <c r="AC33" s="87">
        <f aca="true" t="shared" si="43" ref="AC33:AC52">AB33/AA33*100</f>
        <v>100</v>
      </c>
      <c r="AD33" s="86">
        <v>46997.2</v>
      </c>
      <c r="AE33" s="86">
        <f t="shared" si="33"/>
        <v>14099.159999999998</v>
      </c>
      <c r="AF33" s="46">
        <f t="shared" si="34"/>
        <v>61096.35999999999</v>
      </c>
      <c r="AG33" s="57">
        <v>0</v>
      </c>
      <c r="AH33" s="101">
        <f t="shared" si="6"/>
        <v>-46997.2</v>
      </c>
      <c r="AI33" s="86">
        <v>14</v>
      </c>
      <c r="AJ33" s="86">
        <v>14</v>
      </c>
      <c r="AK33" s="87">
        <f aca="true" t="shared" si="44" ref="AK33:AK52">AJ33/AI33*100</f>
        <v>100</v>
      </c>
      <c r="AL33" s="86">
        <v>45497.399999999994</v>
      </c>
      <c r="AM33" s="86">
        <f t="shared" si="35"/>
        <v>13649.219999999998</v>
      </c>
      <c r="AN33" s="46">
        <f t="shared" si="36"/>
        <v>59146.619999999995</v>
      </c>
      <c r="AO33" s="57">
        <v>0</v>
      </c>
      <c r="AP33" s="101">
        <f t="shared" si="7"/>
        <v>-45497.399999999994</v>
      </c>
    </row>
    <row r="34" spans="1:42" s="3" customFormat="1" ht="37.5" customHeight="1" hidden="1">
      <c r="A34" s="105">
        <v>2</v>
      </c>
      <c r="B34" s="103" t="s">
        <v>91</v>
      </c>
      <c r="C34" s="83">
        <f t="shared" si="37"/>
        <v>34.5</v>
      </c>
      <c r="D34" s="83">
        <f t="shared" si="38"/>
        <v>34.561</v>
      </c>
      <c r="E34" s="83"/>
      <c r="F34" s="83">
        <f t="shared" si="23"/>
        <v>78366.1</v>
      </c>
      <c r="G34" s="83">
        <f t="shared" si="39"/>
        <v>23509.829999999998</v>
      </c>
      <c r="H34" s="57">
        <f t="shared" si="29"/>
        <v>101875.93000000001</v>
      </c>
      <c r="I34" s="83">
        <f t="shared" si="40"/>
        <v>0</v>
      </c>
      <c r="J34" s="101">
        <f t="shared" si="13"/>
        <v>-78366.1</v>
      </c>
      <c r="K34" s="86">
        <v>0</v>
      </c>
      <c r="L34" s="88">
        <v>0.032</v>
      </c>
      <c r="M34" s="87" t="e">
        <f t="shared" si="41"/>
        <v>#DIV/0!</v>
      </c>
      <c r="N34" s="86">
        <v>17357.6</v>
      </c>
      <c r="O34" s="86">
        <f t="shared" si="30"/>
        <v>5207.28</v>
      </c>
      <c r="P34" s="50">
        <f t="shared" si="16"/>
        <v>22564.879999999997</v>
      </c>
      <c r="Q34" s="57">
        <v>0</v>
      </c>
      <c r="R34" s="101">
        <f t="shared" si="2"/>
        <v>-17357.6</v>
      </c>
      <c r="S34" s="86">
        <v>0</v>
      </c>
      <c r="T34" s="88">
        <v>0.029</v>
      </c>
      <c r="U34" s="87" t="e">
        <f t="shared" si="42"/>
        <v>#DIV/0!</v>
      </c>
      <c r="V34" s="86">
        <v>15942.5</v>
      </c>
      <c r="W34" s="86">
        <f t="shared" si="28"/>
        <v>4782.75</v>
      </c>
      <c r="X34" s="46">
        <f t="shared" si="32"/>
        <v>20725.25</v>
      </c>
      <c r="Y34" s="57">
        <v>0</v>
      </c>
      <c r="Z34" s="101">
        <f t="shared" si="4"/>
        <v>-15942.5</v>
      </c>
      <c r="AA34" s="86">
        <v>12.3</v>
      </c>
      <c r="AB34" s="86">
        <v>12.3</v>
      </c>
      <c r="AC34" s="87">
        <f t="shared" si="43"/>
        <v>100</v>
      </c>
      <c r="AD34" s="86">
        <v>19744</v>
      </c>
      <c r="AE34" s="86">
        <f t="shared" si="33"/>
        <v>5923.2</v>
      </c>
      <c r="AF34" s="46">
        <f t="shared" si="34"/>
        <v>25667.2</v>
      </c>
      <c r="AG34" s="57">
        <v>0</v>
      </c>
      <c r="AH34" s="101">
        <f t="shared" si="6"/>
        <v>-19744</v>
      </c>
      <c r="AI34" s="86">
        <v>22.2</v>
      </c>
      <c r="AJ34" s="86">
        <v>22.2</v>
      </c>
      <c r="AK34" s="87">
        <f t="shared" si="44"/>
        <v>100</v>
      </c>
      <c r="AL34" s="86">
        <v>25322</v>
      </c>
      <c r="AM34" s="86">
        <f t="shared" si="35"/>
        <v>7596.599999999999</v>
      </c>
      <c r="AN34" s="46">
        <f t="shared" si="36"/>
        <v>32918.6</v>
      </c>
      <c r="AO34" s="57">
        <v>0</v>
      </c>
      <c r="AP34" s="101">
        <f t="shared" si="7"/>
        <v>-25322</v>
      </c>
    </row>
    <row r="35" spans="1:42" s="3" customFormat="1" ht="37.5" customHeight="1" hidden="1">
      <c r="A35" s="105">
        <v>3</v>
      </c>
      <c r="B35" s="103" t="s">
        <v>92</v>
      </c>
      <c r="C35" s="83">
        <f t="shared" si="37"/>
        <v>9.2</v>
      </c>
      <c r="D35" s="83">
        <f t="shared" si="38"/>
        <v>10</v>
      </c>
      <c r="E35" s="83"/>
      <c r="F35" s="83">
        <f t="shared" si="23"/>
        <v>60557.7</v>
      </c>
      <c r="G35" s="83">
        <f t="shared" si="39"/>
        <v>18167.309999999998</v>
      </c>
      <c r="H35" s="57">
        <f t="shared" si="29"/>
        <v>78725.01</v>
      </c>
      <c r="I35" s="83">
        <f t="shared" si="40"/>
        <v>0</v>
      </c>
      <c r="J35" s="101">
        <f t="shared" si="13"/>
        <v>-60557.7</v>
      </c>
      <c r="K35" s="86">
        <v>2</v>
      </c>
      <c r="L35" s="86">
        <v>2.4</v>
      </c>
      <c r="M35" s="87">
        <f t="shared" si="41"/>
        <v>120</v>
      </c>
      <c r="N35" s="86">
        <v>15011.399999999998</v>
      </c>
      <c r="O35" s="86">
        <f t="shared" si="30"/>
        <v>4503.419999999999</v>
      </c>
      <c r="P35" s="50">
        <f t="shared" si="16"/>
        <v>19514.819999999996</v>
      </c>
      <c r="Q35" s="57">
        <v>0</v>
      </c>
      <c r="R35" s="101">
        <f t="shared" si="2"/>
        <v>-15011.399999999998</v>
      </c>
      <c r="S35" s="86">
        <v>2</v>
      </c>
      <c r="T35" s="86">
        <v>2.4</v>
      </c>
      <c r="U35" s="87">
        <f t="shared" si="42"/>
        <v>120</v>
      </c>
      <c r="V35" s="86">
        <v>14695.5</v>
      </c>
      <c r="W35" s="86">
        <f t="shared" si="28"/>
        <v>4408.65</v>
      </c>
      <c r="X35" s="46">
        <f t="shared" si="32"/>
        <v>19104.15</v>
      </c>
      <c r="Y35" s="57">
        <v>0</v>
      </c>
      <c r="Z35" s="101">
        <f t="shared" si="4"/>
        <v>-14695.5</v>
      </c>
      <c r="AA35" s="86">
        <v>2.6</v>
      </c>
      <c r="AB35" s="86">
        <v>2.6</v>
      </c>
      <c r="AC35" s="87">
        <f t="shared" si="43"/>
        <v>100</v>
      </c>
      <c r="AD35" s="86">
        <v>15620.8</v>
      </c>
      <c r="AE35" s="86">
        <f t="shared" si="33"/>
        <v>4686.24</v>
      </c>
      <c r="AF35" s="46">
        <f t="shared" si="34"/>
        <v>20307.04</v>
      </c>
      <c r="AG35" s="57">
        <v>0</v>
      </c>
      <c r="AH35" s="101">
        <f t="shared" si="6"/>
        <v>-15620.8</v>
      </c>
      <c r="AI35" s="86">
        <v>2.6</v>
      </c>
      <c r="AJ35" s="86">
        <v>2.6</v>
      </c>
      <c r="AK35" s="87">
        <f t="shared" si="44"/>
        <v>100</v>
      </c>
      <c r="AL35" s="86">
        <v>15230</v>
      </c>
      <c r="AM35" s="86">
        <f t="shared" si="35"/>
        <v>4569</v>
      </c>
      <c r="AN35" s="46">
        <f t="shared" si="36"/>
        <v>19799</v>
      </c>
      <c r="AO35" s="57">
        <v>0</v>
      </c>
      <c r="AP35" s="101">
        <f t="shared" si="7"/>
        <v>-15230</v>
      </c>
    </row>
    <row r="36" spans="1:42" s="3" customFormat="1" ht="18.75" customHeight="1" hidden="1">
      <c r="A36" s="105">
        <v>4</v>
      </c>
      <c r="B36" s="103" t="s">
        <v>93</v>
      </c>
      <c r="C36" s="83">
        <f t="shared" si="37"/>
        <v>9.299999999999997</v>
      </c>
      <c r="D36" s="83">
        <f t="shared" si="38"/>
        <v>8.999999999999998</v>
      </c>
      <c r="E36" s="83"/>
      <c r="F36" s="83">
        <f t="shared" si="23"/>
        <v>105938.40000000001</v>
      </c>
      <c r="G36" s="83">
        <f t="shared" si="39"/>
        <v>31781.519999999997</v>
      </c>
      <c r="H36" s="57">
        <f t="shared" si="29"/>
        <v>137719.92</v>
      </c>
      <c r="I36" s="83">
        <f t="shared" si="40"/>
        <v>0</v>
      </c>
      <c r="J36" s="101">
        <f t="shared" si="13"/>
        <v>-105938.40000000001</v>
      </c>
      <c r="K36" s="86">
        <v>4.8</v>
      </c>
      <c r="L36" s="86">
        <v>4.6</v>
      </c>
      <c r="M36" s="87">
        <f t="shared" si="41"/>
        <v>95.83333333333333</v>
      </c>
      <c r="N36" s="86">
        <v>28604.100000000002</v>
      </c>
      <c r="O36" s="86">
        <f t="shared" si="30"/>
        <v>8581.23</v>
      </c>
      <c r="P36" s="50">
        <f t="shared" si="16"/>
        <v>37185.33</v>
      </c>
      <c r="Q36" s="57">
        <v>0</v>
      </c>
      <c r="R36" s="101">
        <f t="shared" si="2"/>
        <v>-28604.100000000002</v>
      </c>
      <c r="S36" s="86">
        <v>4.1</v>
      </c>
      <c r="T36" s="86">
        <v>4</v>
      </c>
      <c r="U36" s="87">
        <f t="shared" si="42"/>
        <v>97.56097560975611</v>
      </c>
      <c r="V36" s="86">
        <v>26558</v>
      </c>
      <c r="W36" s="86">
        <f t="shared" si="28"/>
        <v>7967.4</v>
      </c>
      <c r="X36" s="46">
        <f t="shared" si="32"/>
        <v>34525.4</v>
      </c>
      <c r="Y36" s="57">
        <v>0</v>
      </c>
      <c r="Z36" s="101">
        <f t="shared" si="4"/>
        <v>-26558</v>
      </c>
      <c r="AA36" s="86">
        <v>0.2</v>
      </c>
      <c r="AB36" s="86">
        <v>0.2</v>
      </c>
      <c r="AC36" s="87">
        <f t="shared" si="43"/>
        <v>100</v>
      </c>
      <c r="AD36" s="86">
        <v>26724</v>
      </c>
      <c r="AE36" s="86">
        <f t="shared" si="33"/>
        <v>8017.2</v>
      </c>
      <c r="AF36" s="46">
        <f t="shared" si="34"/>
        <v>34741.2</v>
      </c>
      <c r="AG36" s="57">
        <v>0</v>
      </c>
      <c r="AH36" s="101">
        <f t="shared" si="6"/>
        <v>-26724</v>
      </c>
      <c r="AI36" s="86">
        <v>0.2</v>
      </c>
      <c r="AJ36" s="86">
        <v>0.2</v>
      </c>
      <c r="AK36" s="87">
        <f t="shared" si="44"/>
        <v>100</v>
      </c>
      <c r="AL36" s="86">
        <v>24052.300000000003</v>
      </c>
      <c r="AM36" s="86">
        <f t="shared" si="35"/>
        <v>7215.6900000000005</v>
      </c>
      <c r="AN36" s="46">
        <f t="shared" si="36"/>
        <v>31267.990000000005</v>
      </c>
      <c r="AO36" s="57">
        <v>0</v>
      </c>
      <c r="AP36" s="101">
        <f t="shared" si="7"/>
        <v>-24052.300000000003</v>
      </c>
    </row>
    <row r="37" spans="1:42" s="3" customFormat="1" ht="37.5" customHeight="1" hidden="1">
      <c r="A37" s="105">
        <v>5</v>
      </c>
      <c r="B37" s="103" t="s">
        <v>94</v>
      </c>
      <c r="C37" s="83">
        <f t="shared" si="37"/>
        <v>63.199999999999996</v>
      </c>
      <c r="D37" s="83">
        <f t="shared" si="38"/>
        <v>66.6</v>
      </c>
      <c r="E37" s="83"/>
      <c r="F37" s="83">
        <f t="shared" si="23"/>
        <v>247350.49999999997</v>
      </c>
      <c r="G37" s="83">
        <f t="shared" si="39"/>
        <v>74205.15</v>
      </c>
      <c r="H37" s="57">
        <f t="shared" si="29"/>
        <v>321555.64999999997</v>
      </c>
      <c r="I37" s="83">
        <f t="shared" si="40"/>
        <v>0</v>
      </c>
      <c r="J37" s="101">
        <f t="shared" si="13"/>
        <v>-247350.49999999997</v>
      </c>
      <c r="K37" s="86">
        <v>15.1</v>
      </c>
      <c r="L37" s="86">
        <v>15.4</v>
      </c>
      <c r="M37" s="87">
        <f t="shared" si="41"/>
        <v>101.98675496688743</v>
      </c>
      <c r="N37" s="86">
        <v>64871.2</v>
      </c>
      <c r="O37" s="86">
        <f t="shared" si="30"/>
        <v>19461.359999999997</v>
      </c>
      <c r="P37" s="50">
        <f t="shared" si="16"/>
        <v>84332.56</v>
      </c>
      <c r="Q37" s="57">
        <v>0</v>
      </c>
      <c r="R37" s="101">
        <f t="shared" si="2"/>
        <v>-64871.2</v>
      </c>
      <c r="S37" s="86">
        <v>15.2</v>
      </c>
      <c r="T37" s="86">
        <v>18.3</v>
      </c>
      <c r="U37" s="87">
        <f t="shared" si="42"/>
        <v>120.39473684210526</v>
      </c>
      <c r="V37" s="86">
        <v>57767.99999999999</v>
      </c>
      <c r="W37" s="86">
        <f t="shared" si="28"/>
        <v>17330.399999999998</v>
      </c>
      <c r="X37" s="46">
        <f t="shared" si="32"/>
        <v>75098.4</v>
      </c>
      <c r="Y37" s="57">
        <v>0</v>
      </c>
      <c r="Z37" s="101">
        <f t="shared" si="4"/>
        <v>-57767.99999999999</v>
      </c>
      <c r="AA37" s="86">
        <v>16.5</v>
      </c>
      <c r="AB37" s="86">
        <v>16.5</v>
      </c>
      <c r="AC37" s="87">
        <f t="shared" si="43"/>
        <v>100</v>
      </c>
      <c r="AD37" s="86">
        <v>64171.399999999994</v>
      </c>
      <c r="AE37" s="86">
        <f t="shared" si="33"/>
        <v>19251.42</v>
      </c>
      <c r="AF37" s="46">
        <f t="shared" si="34"/>
        <v>83422.81999999999</v>
      </c>
      <c r="AG37" s="57">
        <v>0</v>
      </c>
      <c r="AH37" s="101">
        <f t="shared" si="6"/>
        <v>-64171.399999999994</v>
      </c>
      <c r="AI37" s="86">
        <v>16.4</v>
      </c>
      <c r="AJ37" s="86">
        <v>16.4</v>
      </c>
      <c r="AK37" s="87">
        <f t="shared" si="44"/>
        <v>100</v>
      </c>
      <c r="AL37" s="86">
        <v>60539.899999999994</v>
      </c>
      <c r="AM37" s="86">
        <f t="shared" si="35"/>
        <v>18161.969999999998</v>
      </c>
      <c r="AN37" s="46">
        <f t="shared" si="36"/>
        <v>78701.87</v>
      </c>
      <c r="AO37" s="57">
        <v>0</v>
      </c>
      <c r="AP37" s="101">
        <f t="shared" si="7"/>
        <v>-60539.899999999994</v>
      </c>
    </row>
    <row r="38" spans="1:42" s="3" customFormat="1" ht="18.75" customHeight="1" hidden="1">
      <c r="A38" s="105">
        <v>6</v>
      </c>
      <c r="B38" s="103" t="s">
        <v>95</v>
      </c>
      <c r="C38" s="83">
        <f t="shared" si="37"/>
        <v>0</v>
      </c>
      <c r="D38" s="83">
        <f t="shared" si="38"/>
        <v>0</v>
      </c>
      <c r="E38" s="83"/>
      <c r="F38" s="83">
        <f t="shared" si="23"/>
        <v>14851.7</v>
      </c>
      <c r="G38" s="83">
        <f t="shared" si="39"/>
        <v>4455.51</v>
      </c>
      <c r="H38" s="57">
        <f t="shared" si="29"/>
        <v>19307.21</v>
      </c>
      <c r="I38" s="83">
        <f t="shared" si="40"/>
        <v>0</v>
      </c>
      <c r="J38" s="101">
        <f t="shared" si="13"/>
        <v>-14851.7</v>
      </c>
      <c r="K38" s="85"/>
      <c r="L38" s="85"/>
      <c r="M38" s="87" t="e">
        <f t="shared" si="41"/>
        <v>#DIV/0!</v>
      </c>
      <c r="N38" s="86">
        <v>3793.5000000000005</v>
      </c>
      <c r="O38" s="86">
        <f>0.3*N38</f>
        <v>1138.0500000000002</v>
      </c>
      <c r="P38" s="50">
        <f t="shared" si="16"/>
        <v>4931.550000000001</v>
      </c>
      <c r="Q38" s="57">
        <v>0</v>
      </c>
      <c r="R38" s="101">
        <f t="shared" si="2"/>
        <v>-3793.5000000000005</v>
      </c>
      <c r="S38" s="85"/>
      <c r="T38" s="85"/>
      <c r="U38" s="87" t="e">
        <f t="shared" si="42"/>
        <v>#DIV/0!</v>
      </c>
      <c r="V38" s="86">
        <v>3642</v>
      </c>
      <c r="W38" s="86">
        <f>0.3*V38</f>
        <v>1092.6</v>
      </c>
      <c r="X38" s="46">
        <f t="shared" si="32"/>
        <v>4734.6</v>
      </c>
      <c r="Y38" s="57">
        <v>0</v>
      </c>
      <c r="Z38" s="101">
        <f t="shared" si="4"/>
        <v>-3642</v>
      </c>
      <c r="AA38" s="85"/>
      <c r="AB38" s="85"/>
      <c r="AC38" s="87" t="e">
        <f t="shared" si="43"/>
        <v>#DIV/0!</v>
      </c>
      <c r="AD38" s="86">
        <v>3782.4000000000005</v>
      </c>
      <c r="AE38" s="86">
        <f>0.3*AD38</f>
        <v>1134.72</v>
      </c>
      <c r="AF38" s="46">
        <f t="shared" si="34"/>
        <v>4917.120000000001</v>
      </c>
      <c r="AG38" s="57">
        <v>0</v>
      </c>
      <c r="AH38" s="101">
        <f t="shared" si="6"/>
        <v>-3782.4000000000005</v>
      </c>
      <c r="AI38" s="86"/>
      <c r="AJ38" s="86"/>
      <c r="AK38" s="87" t="e">
        <f t="shared" si="44"/>
        <v>#DIV/0!</v>
      </c>
      <c r="AL38" s="86">
        <v>3633.8</v>
      </c>
      <c r="AM38" s="86">
        <f>0.3*AL38</f>
        <v>1090.14</v>
      </c>
      <c r="AN38" s="46">
        <f t="shared" si="36"/>
        <v>4723.9400000000005</v>
      </c>
      <c r="AO38" s="57">
        <v>0</v>
      </c>
      <c r="AP38" s="101">
        <f t="shared" si="7"/>
        <v>-3633.8</v>
      </c>
    </row>
    <row r="39" spans="1:42" s="82" customFormat="1" ht="18.75" customHeight="1" hidden="1">
      <c r="A39" s="105">
        <v>7</v>
      </c>
      <c r="B39" s="103" t="s">
        <v>96</v>
      </c>
      <c r="C39" s="89">
        <f t="shared" si="37"/>
        <v>0</v>
      </c>
      <c r="D39" s="89">
        <f t="shared" si="38"/>
        <v>0</v>
      </c>
      <c r="E39" s="89"/>
      <c r="F39" s="89">
        <f t="shared" si="23"/>
        <v>36685.8</v>
      </c>
      <c r="G39" s="89">
        <f t="shared" si="39"/>
        <v>11005.739999999998</v>
      </c>
      <c r="H39" s="79">
        <f t="shared" si="29"/>
        <v>47691.54</v>
      </c>
      <c r="I39" s="89">
        <f t="shared" si="40"/>
        <v>0</v>
      </c>
      <c r="J39" s="101">
        <f t="shared" si="13"/>
        <v>-36685.8</v>
      </c>
      <c r="K39" s="90"/>
      <c r="L39" s="90"/>
      <c r="M39" s="89" t="e">
        <f t="shared" si="41"/>
        <v>#DIV/0!</v>
      </c>
      <c r="N39" s="91">
        <v>9407.9</v>
      </c>
      <c r="O39" s="91">
        <f aca="true" t="shared" si="45" ref="O39:O48">0.3*N39</f>
        <v>2822.37</v>
      </c>
      <c r="P39" s="80">
        <f t="shared" si="16"/>
        <v>12230.27</v>
      </c>
      <c r="Q39" s="79">
        <v>0</v>
      </c>
      <c r="R39" s="101">
        <f t="shared" si="2"/>
        <v>-9407.9</v>
      </c>
      <c r="S39" s="90"/>
      <c r="T39" s="90"/>
      <c r="U39" s="89" t="e">
        <f t="shared" si="42"/>
        <v>#DIV/0!</v>
      </c>
      <c r="V39" s="91">
        <v>8803.9</v>
      </c>
      <c r="W39" s="91">
        <f aca="true" t="shared" si="46" ref="W39:W48">0.3*V39</f>
        <v>2641.1699999999996</v>
      </c>
      <c r="X39" s="81">
        <f t="shared" si="32"/>
        <v>11445.07</v>
      </c>
      <c r="Y39" s="79">
        <v>0</v>
      </c>
      <c r="Z39" s="101">
        <f t="shared" si="4"/>
        <v>-8803.9</v>
      </c>
      <c r="AA39" s="90"/>
      <c r="AB39" s="90"/>
      <c r="AC39" s="89" t="e">
        <f t="shared" si="43"/>
        <v>#DIV/0!</v>
      </c>
      <c r="AD39" s="91">
        <v>9615.5</v>
      </c>
      <c r="AE39" s="91">
        <f aca="true" t="shared" si="47" ref="AE39:AE48">0.3*AD39</f>
        <v>2884.65</v>
      </c>
      <c r="AF39" s="81">
        <f t="shared" si="34"/>
        <v>12500.15</v>
      </c>
      <c r="AG39" s="79">
        <v>0</v>
      </c>
      <c r="AH39" s="101">
        <f t="shared" si="6"/>
        <v>-9615.5</v>
      </c>
      <c r="AI39" s="91"/>
      <c r="AJ39" s="91"/>
      <c r="AK39" s="89" t="e">
        <f t="shared" si="44"/>
        <v>#DIV/0!</v>
      </c>
      <c r="AL39" s="91">
        <v>8858.5</v>
      </c>
      <c r="AM39" s="91">
        <f aca="true" t="shared" si="48" ref="AM39:AM48">0.3*AL39</f>
        <v>2657.5499999999997</v>
      </c>
      <c r="AN39" s="81">
        <f t="shared" si="36"/>
        <v>11516.05</v>
      </c>
      <c r="AO39" s="79">
        <v>0</v>
      </c>
      <c r="AP39" s="101">
        <f t="shared" si="7"/>
        <v>-8858.5</v>
      </c>
    </row>
    <row r="40" spans="1:42" s="3" customFormat="1" ht="18.75" customHeight="1" hidden="1">
      <c r="A40" s="105">
        <v>8</v>
      </c>
      <c r="B40" s="103" t="s">
        <v>97</v>
      </c>
      <c r="C40" s="83">
        <f t="shared" si="37"/>
        <v>0</v>
      </c>
      <c r="D40" s="83">
        <f t="shared" si="38"/>
        <v>0</v>
      </c>
      <c r="E40" s="83"/>
      <c r="F40" s="83">
        <f t="shared" si="23"/>
        <v>39636.5</v>
      </c>
      <c r="G40" s="83">
        <f t="shared" si="39"/>
        <v>11890.95</v>
      </c>
      <c r="H40" s="57">
        <f t="shared" si="29"/>
        <v>51527.45</v>
      </c>
      <c r="I40" s="83">
        <f t="shared" si="40"/>
        <v>0</v>
      </c>
      <c r="J40" s="101">
        <f t="shared" si="13"/>
        <v>-39636.5</v>
      </c>
      <c r="K40" s="85"/>
      <c r="L40" s="85"/>
      <c r="M40" s="87" t="e">
        <f t="shared" si="41"/>
        <v>#DIV/0!</v>
      </c>
      <c r="N40" s="86">
        <v>10645.2</v>
      </c>
      <c r="O40" s="86">
        <f t="shared" si="45"/>
        <v>3193.56</v>
      </c>
      <c r="P40" s="50">
        <f t="shared" si="16"/>
        <v>13838.76</v>
      </c>
      <c r="Q40" s="57">
        <v>0</v>
      </c>
      <c r="R40" s="101">
        <f t="shared" si="2"/>
        <v>-10645.2</v>
      </c>
      <c r="S40" s="85"/>
      <c r="T40" s="85"/>
      <c r="U40" s="87" t="e">
        <f t="shared" si="42"/>
        <v>#DIV/0!</v>
      </c>
      <c r="V40" s="86">
        <v>9718.1</v>
      </c>
      <c r="W40" s="86">
        <f t="shared" si="46"/>
        <v>2915.43</v>
      </c>
      <c r="X40" s="46">
        <f t="shared" si="32"/>
        <v>12633.53</v>
      </c>
      <c r="Y40" s="57">
        <v>0</v>
      </c>
      <c r="Z40" s="101">
        <f t="shared" si="4"/>
        <v>-9718.1</v>
      </c>
      <c r="AA40" s="85"/>
      <c r="AB40" s="85"/>
      <c r="AC40" s="87" t="e">
        <f t="shared" si="43"/>
        <v>#DIV/0!</v>
      </c>
      <c r="AD40" s="86">
        <v>9702.5</v>
      </c>
      <c r="AE40" s="86">
        <f t="shared" si="47"/>
        <v>2910.75</v>
      </c>
      <c r="AF40" s="46">
        <f t="shared" si="34"/>
        <v>12613.25</v>
      </c>
      <c r="AG40" s="57">
        <v>0</v>
      </c>
      <c r="AH40" s="101">
        <f t="shared" si="6"/>
        <v>-9702.5</v>
      </c>
      <c r="AI40" s="86"/>
      <c r="AJ40" s="86"/>
      <c r="AK40" s="87" t="e">
        <f t="shared" si="44"/>
        <v>#DIV/0!</v>
      </c>
      <c r="AL40" s="86">
        <v>9570.7</v>
      </c>
      <c r="AM40" s="86">
        <f t="shared" si="48"/>
        <v>2871.21</v>
      </c>
      <c r="AN40" s="46">
        <f t="shared" si="36"/>
        <v>12441.91</v>
      </c>
      <c r="AO40" s="57">
        <v>0</v>
      </c>
      <c r="AP40" s="101">
        <f t="shared" si="7"/>
        <v>-9570.7</v>
      </c>
    </row>
    <row r="41" spans="1:42" s="82" customFormat="1" ht="18.75" customHeight="1" hidden="1">
      <c r="A41" s="105">
        <v>9</v>
      </c>
      <c r="B41" s="103" t="s">
        <v>98</v>
      </c>
      <c r="C41" s="89">
        <f t="shared" si="37"/>
        <v>0</v>
      </c>
      <c r="D41" s="89">
        <f t="shared" si="38"/>
        <v>0</v>
      </c>
      <c r="E41" s="89"/>
      <c r="F41" s="89">
        <f t="shared" si="23"/>
        <v>27082.5</v>
      </c>
      <c r="G41" s="89">
        <f t="shared" si="39"/>
        <v>8124.749999999998</v>
      </c>
      <c r="H41" s="79">
        <f t="shared" si="29"/>
        <v>35207.25</v>
      </c>
      <c r="I41" s="89">
        <f t="shared" si="40"/>
        <v>0</v>
      </c>
      <c r="J41" s="101">
        <f t="shared" si="13"/>
        <v>-27082.5</v>
      </c>
      <c r="K41" s="90"/>
      <c r="L41" s="90"/>
      <c r="M41" s="89" t="e">
        <f t="shared" si="41"/>
        <v>#DIV/0!</v>
      </c>
      <c r="N41" s="91">
        <v>6787.6</v>
      </c>
      <c r="O41" s="91">
        <f t="shared" si="45"/>
        <v>2036.28</v>
      </c>
      <c r="P41" s="80">
        <f t="shared" si="16"/>
        <v>8823.880000000001</v>
      </c>
      <c r="Q41" s="79">
        <v>0</v>
      </c>
      <c r="R41" s="101">
        <f t="shared" si="2"/>
        <v>-6787.6</v>
      </c>
      <c r="S41" s="90"/>
      <c r="T41" s="90"/>
      <c r="U41" s="89" t="e">
        <f t="shared" si="42"/>
        <v>#DIV/0!</v>
      </c>
      <c r="V41" s="91">
        <v>6509.799999999999</v>
      </c>
      <c r="W41" s="91">
        <f t="shared" si="46"/>
        <v>1952.9399999999996</v>
      </c>
      <c r="X41" s="81">
        <f t="shared" si="32"/>
        <v>8462.739999999998</v>
      </c>
      <c r="Y41" s="79">
        <v>0</v>
      </c>
      <c r="Z41" s="101">
        <f t="shared" si="4"/>
        <v>-6509.799999999999</v>
      </c>
      <c r="AA41" s="90"/>
      <c r="AB41" s="90"/>
      <c r="AC41" s="89" t="e">
        <f t="shared" si="43"/>
        <v>#DIV/0!</v>
      </c>
      <c r="AD41" s="91">
        <v>6900.8</v>
      </c>
      <c r="AE41" s="91">
        <f t="shared" si="47"/>
        <v>2070.24</v>
      </c>
      <c r="AF41" s="81">
        <f t="shared" si="34"/>
        <v>8971.04</v>
      </c>
      <c r="AG41" s="79">
        <v>0</v>
      </c>
      <c r="AH41" s="101">
        <f t="shared" si="6"/>
        <v>-6900.8</v>
      </c>
      <c r="AI41" s="91"/>
      <c r="AJ41" s="91"/>
      <c r="AK41" s="89" t="e">
        <f t="shared" si="44"/>
        <v>#DIV/0!</v>
      </c>
      <c r="AL41" s="91">
        <v>6884.299999999999</v>
      </c>
      <c r="AM41" s="91">
        <f t="shared" si="48"/>
        <v>2065.2899999999995</v>
      </c>
      <c r="AN41" s="81">
        <f t="shared" si="36"/>
        <v>8949.589999999998</v>
      </c>
      <c r="AO41" s="79">
        <v>0</v>
      </c>
      <c r="AP41" s="101">
        <f t="shared" si="7"/>
        <v>-6884.299999999999</v>
      </c>
    </row>
    <row r="42" spans="1:42" s="3" customFormat="1" ht="18.75" customHeight="1" hidden="1">
      <c r="A42" s="105">
        <v>10</v>
      </c>
      <c r="B42" s="103" t="s">
        <v>99</v>
      </c>
      <c r="C42" s="83">
        <f t="shared" si="37"/>
        <v>0</v>
      </c>
      <c r="D42" s="83">
        <f t="shared" si="38"/>
        <v>0</v>
      </c>
      <c r="E42" s="83"/>
      <c r="F42" s="83">
        <f t="shared" si="23"/>
        <v>15338.599999999999</v>
      </c>
      <c r="G42" s="83">
        <f t="shared" si="39"/>
        <v>4601.58</v>
      </c>
      <c r="H42" s="57">
        <f t="shared" si="29"/>
        <v>19940.18</v>
      </c>
      <c r="I42" s="83">
        <f t="shared" si="40"/>
        <v>0</v>
      </c>
      <c r="J42" s="101">
        <f t="shared" si="13"/>
        <v>-15338.599999999999</v>
      </c>
      <c r="K42" s="85"/>
      <c r="L42" s="85"/>
      <c r="M42" s="87" t="e">
        <f t="shared" si="41"/>
        <v>#DIV/0!</v>
      </c>
      <c r="N42" s="86">
        <v>4074.8999999999996</v>
      </c>
      <c r="O42" s="86">
        <f t="shared" si="45"/>
        <v>1222.4699999999998</v>
      </c>
      <c r="P42" s="50">
        <f t="shared" si="16"/>
        <v>5297.369999999999</v>
      </c>
      <c r="Q42" s="57">
        <v>0</v>
      </c>
      <c r="R42" s="101">
        <f t="shared" si="2"/>
        <v>-4074.8999999999996</v>
      </c>
      <c r="S42" s="85"/>
      <c r="T42" s="85"/>
      <c r="U42" s="87" t="e">
        <f t="shared" si="42"/>
        <v>#DIV/0!</v>
      </c>
      <c r="V42" s="86">
        <v>3781.9</v>
      </c>
      <c r="W42" s="86">
        <f t="shared" si="46"/>
        <v>1134.57</v>
      </c>
      <c r="X42" s="46">
        <f t="shared" si="32"/>
        <v>4916.47</v>
      </c>
      <c r="Y42" s="57">
        <v>0</v>
      </c>
      <c r="Z42" s="101">
        <f t="shared" si="4"/>
        <v>-3781.9</v>
      </c>
      <c r="AA42" s="85"/>
      <c r="AB42" s="85"/>
      <c r="AC42" s="87" t="e">
        <f t="shared" si="43"/>
        <v>#DIV/0!</v>
      </c>
      <c r="AD42" s="86">
        <v>3780.5</v>
      </c>
      <c r="AE42" s="86">
        <f t="shared" si="47"/>
        <v>1134.1499999999999</v>
      </c>
      <c r="AF42" s="46">
        <f t="shared" si="34"/>
        <v>4914.65</v>
      </c>
      <c r="AG42" s="57">
        <v>0</v>
      </c>
      <c r="AH42" s="101">
        <f t="shared" si="6"/>
        <v>-3780.5</v>
      </c>
      <c r="AI42" s="86"/>
      <c r="AJ42" s="86"/>
      <c r="AK42" s="87" t="e">
        <f t="shared" si="44"/>
        <v>#DIV/0!</v>
      </c>
      <c r="AL42" s="86">
        <v>3701.3</v>
      </c>
      <c r="AM42" s="86">
        <f t="shared" si="48"/>
        <v>1110.39</v>
      </c>
      <c r="AN42" s="46">
        <f t="shared" si="36"/>
        <v>4811.6900000000005</v>
      </c>
      <c r="AO42" s="57">
        <v>0</v>
      </c>
      <c r="AP42" s="101">
        <f t="shared" si="7"/>
        <v>-3701.3</v>
      </c>
    </row>
    <row r="43" spans="1:42" s="3" customFormat="1" ht="18.75" customHeight="1" hidden="1">
      <c r="A43" s="105">
        <v>11</v>
      </c>
      <c r="B43" s="103" t="s">
        <v>100</v>
      </c>
      <c r="C43" s="83">
        <f t="shared" si="37"/>
        <v>0</v>
      </c>
      <c r="D43" s="83">
        <f t="shared" si="38"/>
        <v>0</v>
      </c>
      <c r="E43" s="83"/>
      <c r="F43" s="83">
        <f t="shared" si="23"/>
        <v>1575.1999999999998</v>
      </c>
      <c r="G43" s="83">
        <f t="shared" si="39"/>
        <v>472.56</v>
      </c>
      <c r="H43" s="57">
        <f t="shared" si="29"/>
        <v>2047.7599999999998</v>
      </c>
      <c r="I43" s="83">
        <f t="shared" si="40"/>
        <v>0</v>
      </c>
      <c r="J43" s="101">
        <f t="shared" si="13"/>
        <v>-1575.1999999999998</v>
      </c>
      <c r="K43" s="85"/>
      <c r="L43" s="85"/>
      <c r="M43" s="87" t="e">
        <f t="shared" si="41"/>
        <v>#DIV/0!</v>
      </c>
      <c r="N43" s="86">
        <v>387.4</v>
      </c>
      <c r="O43" s="86">
        <f t="shared" si="45"/>
        <v>116.21999999999998</v>
      </c>
      <c r="P43" s="50">
        <f t="shared" si="16"/>
        <v>503.61999999999995</v>
      </c>
      <c r="Q43" s="57">
        <v>0</v>
      </c>
      <c r="R43" s="101">
        <f t="shared" si="2"/>
        <v>-387.4</v>
      </c>
      <c r="S43" s="85"/>
      <c r="T43" s="85"/>
      <c r="U43" s="87" t="e">
        <f t="shared" si="42"/>
        <v>#DIV/0!</v>
      </c>
      <c r="V43" s="86">
        <v>381.3</v>
      </c>
      <c r="W43" s="86">
        <f t="shared" si="46"/>
        <v>114.39</v>
      </c>
      <c r="X43" s="46">
        <f t="shared" si="32"/>
        <v>495.69</v>
      </c>
      <c r="Y43" s="57">
        <v>0</v>
      </c>
      <c r="Z43" s="101">
        <f t="shared" si="4"/>
        <v>-381.3</v>
      </c>
      <c r="AA43" s="85"/>
      <c r="AB43" s="85"/>
      <c r="AC43" s="87" t="e">
        <f t="shared" si="43"/>
        <v>#DIV/0!</v>
      </c>
      <c r="AD43" s="86">
        <v>403.4</v>
      </c>
      <c r="AE43" s="86">
        <f t="shared" si="47"/>
        <v>121.01999999999998</v>
      </c>
      <c r="AF43" s="46">
        <f t="shared" si="34"/>
        <v>524.42</v>
      </c>
      <c r="AG43" s="57">
        <v>0</v>
      </c>
      <c r="AH43" s="101">
        <f t="shared" si="6"/>
        <v>-403.4</v>
      </c>
      <c r="AI43" s="86"/>
      <c r="AJ43" s="86"/>
      <c r="AK43" s="87" t="e">
        <f t="shared" si="44"/>
        <v>#DIV/0!</v>
      </c>
      <c r="AL43" s="86">
        <f>403.1</f>
        <v>403.1</v>
      </c>
      <c r="AM43" s="86">
        <f t="shared" si="48"/>
        <v>120.93</v>
      </c>
      <c r="AN43" s="46">
        <f t="shared" si="36"/>
        <v>524.03</v>
      </c>
      <c r="AO43" s="57">
        <v>0</v>
      </c>
      <c r="AP43" s="101">
        <f t="shared" si="7"/>
        <v>-403.1</v>
      </c>
    </row>
    <row r="44" spans="1:42" s="3" customFormat="1" ht="18.75" customHeight="1" hidden="1">
      <c r="A44" s="105">
        <v>12</v>
      </c>
      <c r="B44" s="103" t="s">
        <v>101</v>
      </c>
      <c r="C44" s="83">
        <f t="shared" si="37"/>
        <v>0</v>
      </c>
      <c r="D44" s="83">
        <f t="shared" si="38"/>
        <v>0</v>
      </c>
      <c r="E44" s="83"/>
      <c r="F44" s="83">
        <f t="shared" si="23"/>
        <v>1202.5</v>
      </c>
      <c r="G44" s="83">
        <f t="shared" si="39"/>
        <v>360.74999999999994</v>
      </c>
      <c r="H44" s="57">
        <f t="shared" si="29"/>
        <v>1563.25</v>
      </c>
      <c r="I44" s="83">
        <f t="shared" si="40"/>
        <v>0</v>
      </c>
      <c r="J44" s="101">
        <f t="shared" si="13"/>
        <v>-1202.5</v>
      </c>
      <c r="K44" s="85"/>
      <c r="L44" s="85"/>
      <c r="M44" s="87" t="e">
        <f t="shared" si="41"/>
        <v>#DIV/0!</v>
      </c>
      <c r="N44" s="86">
        <v>300.5</v>
      </c>
      <c r="O44" s="86">
        <f t="shared" si="45"/>
        <v>90.14999999999999</v>
      </c>
      <c r="P44" s="50">
        <f t="shared" si="16"/>
        <v>390.65</v>
      </c>
      <c r="Q44" s="57">
        <v>0</v>
      </c>
      <c r="R44" s="101">
        <f t="shared" si="2"/>
        <v>-300.5</v>
      </c>
      <c r="S44" s="85"/>
      <c r="T44" s="85"/>
      <c r="U44" s="87" t="e">
        <f t="shared" si="42"/>
        <v>#DIV/0!</v>
      </c>
      <c r="V44" s="86">
        <v>300.5</v>
      </c>
      <c r="W44" s="86">
        <f t="shared" si="46"/>
        <v>90.14999999999999</v>
      </c>
      <c r="X44" s="46">
        <f t="shared" si="32"/>
        <v>390.65</v>
      </c>
      <c r="Y44" s="57">
        <v>0</v>
      </c>
      <c r="Z44" s="101">
        <f t="shared" si="4"/>
        <v>-300.5</v>
      </c>
      <c r="AA44" s="85"/>
      <c r="AB44" s="85"/>
      <c r="AC44" s="87" t="e">
        <f t="shared" si="43"/>
        <v>#DIV/0!</v>
      </c>
      <c r="AD44" s="86">
        <v>301</v>
      </c>
      <c r="AE44" s="86">
        <f t="shared" si="47"/>
        <v>90.3</v>
      </c>
      <c r="AF44" s="46">
        <f t="shared" si="34"/>
        <v>391.3</v>
      </c>
      <c r="AG44" s="57">
        <v>0</v>
      </c>
      <c r="AH44" s="101">
        <f t="shared" si="6"/>
        <v>-301</v>
      </c>
      <c r="AI44" s="86"/>
      <c r="AJ44" s="86"/>
      <c r="AK44" s="87" t="e">
        <f t="shared" si="44"/>
        <v>#DIV/0!</v>
      </c>
      <c r="AL44" s="86">
        <v>300.5</v>
      </c>
      <c r="AM44" s="86">
        <f t="shared" si="48"/>
        <v>90.14999999999999</v>
      </c>
      <c r="AN44" s="46">
        <f t="shared" si="36"/>
        <v>390.65</v>
      </c>
      <c r="AO44" s="57">
        <v>0</v>
      </c>
      <c r="AP44" s="101">
        <f t="shared" si="7"/>
        <v>-300.5</v>
      </c>
    </row>
    <row r="45" spans="1:42" s="3" customFormat="1" ht="37.5" customHeight="1" hidden="1">
      <c r="A45" s="105">
        <v>13</v>
      </c>
      <c r="B45" s="103" t="s">
        <v>119</v>
      </c>
      <c r="C45" s="83">
        <f t="shared" si="37"/>
        <v>0</v>
      </c>
      <c r="D45" s="83">
        <f t="shared" si="38"/>
        <v>0</v>
      </c>
      <c r="E45" s="83"/>
      <c r="F45" s="83">
        <f t="shared" si="23"/>
        <v>30715.850000000002</v>
      </c>
      <c r="G45" s="83">
        <f t="shared" si="39"/>
        <v>9214.755000000001</v>
      </c>
      <c r="H45" s="57">
        <f t="shared" si="29"/>
        <v>39930.605</v>
      </c>
      <c r="I45" s="83">
        <f t="shared" si="40"/>
        <v>0</v>
      </c>
      <c r="J45" s="101">
        <f t="shared" si="13"/>
        <v>-30715.850000000002</v>
      </c>
      <c r="K45" s="85"/>
      <c r="L45" s="85"/>
      <c r="M45" s="87" t="e">
        <f t="shared" si="41"/>
        <v>#DIV/0!</v>
      </c>
      <c r="N45" s="86">
        <f>(5663.2+804.6+944.7+151.85)-114-90.5-11.8</f>
        <v>7348.05</v>
      </c>
      <c r="O45" s="86">
        <f t="shared" si="45"/>
        <v>2204.415</v>
      </c>
      <c r="P45" s="50">
        <f t="shared" si="16"/>
        <v>9552.465</v>
      </c>
      <c r="Q45" s="57">
        <v>0</v>
      </c>
      <c r="R45" s="101">
        <f t="shared" si="2"/>
        <v>-7348.05</v>
      </c>
      <c r="S45" s="85"/>
      <c r="T45" s="85"/>
      <c r="U45" s="87" t="e">
        <f t="shared" si="42"/>
        <v>#DIV/0!</v>
      </c>
      <c r="V45" s="86">
        <v>7096.1</v>
      </c>
      <c r="W45" s="86">
        <f t="shared" si="46"/>
        <v>2128.83</v>
      </c>
      <c r="X45" s="46">
        <f t="shared" si="32"/>
        <v>9224.93</v>
      </c>
      <c r="Y45" s="57">
        <v>0</v>
      </c>
      <c r="Z45" s="101">
        <f t="shared" si="4"/>
        <v>-7096.1</v>
      </c>
      <c r="AA45" s="85"/>
      <c r="AB45" s="85"/>
      <c r="AC45" s="87" t="e">
        <f t="shared" si="43"/>
        <v>#DIV/0!</v>
      </c>
      <c r="AD45" s="86">
        <v>8154.900000000001</v>
      </c>
      <c r="AE45" s="86">
        <f t="shared" si="47"/>
        <v>2446.4700000000003</v>
      </c>
      <c r="AF45" s="46">
        <f t="shared" si="34"/>
        <v>10601.37</v>
      </c>
      <c r="AG45" s="57">
        <v>0</v>
      </c>
      <c r="AH45" s="101">
        <f t="shared" si="6"/>
        <v>-8154.900000000001</v>
      </c>
      <c r="AI45" s="86"/>
      <c r="AJ45" s="86"/>
      <c r="AK45" s="87" t="e">
        <f t="shared" si="44"/>
        <v>#DIV/0!</v>
      </c>
      <c r="AL45" s="86">
        <v>8116.8</v>
      </c>
      <c r="AM45" s="86">
        <f t="shared" si="48"/>
        <v>2435.04</v>
      </c>
      <c r="AN45" s="46">
        <f t="shared" si="36"/>
        <v>10551.84</v>
      </c>
      <c r="AO45" s="57">
        <v>0</v>
      </c>
      <c r="AP45" s="101">
        <f t="shared" si="7"/>
        <v>-8116.8</v>
      </c>
    </row>
    <row r="46" spans="1:42" s="3" customFormat="1" ht="37.5" customHeight="1" hidden="1">
      <c r="A46" s="105">
        <v>14</v>
      </c>
      <c r="B46" s="103" t="s">
        <v>102</v>
      </c>
      <c r="C46" s="83">
        <f t="shared" si="37"/>
        <v>0</v>
      </c>
      <c r="D46" s="83">
        <f t="shared" si="38"/>
        <v>0</v>
      </c>
      <c r="E46" s="83"/>
      <c r="F46" s="83">
        <f t="shared" si="23"/>
        <v>534</v>
      </c>
      <c r="G46" s="83">
        <f t="shared" si="39"/>
        <v>160.2</v>
      </c>
      <c r="H46" s="57">
        <f t="shared" si="29"/>
        <v>694.2</v>
      </c>
      <c r="I46" s="83">
        <f t="shared" si="40"/>
        <v>0</v>
      </c>
      <c r="J46" s="101">
        <f t="shared" si="13"/>
        <v>-534</v>
      </c>
      <c r="K46" s="85"/>
      <c r="L46" s="85"/>
      <c r="M46" s="87" t="e">
        <f t="shared" si="41"/>
        <v>#DIV/0!</v>
      </c>
      <c r="N46" s="86">
        <v>133.5</v>
      </c>
      <c r="O46" s="86">
        <f t="shared" si="45"/>
        <v>40.05</v>
      </c>
      <c r="P46" s="50">
        <f t="shared" si="16"/>
        <v>173.55</v>
      </c>
      <c r="Q46" s="57">
        <v>0</v>
      </c>
      <c r="R46" s="101">
        <f t="shared" si="2"/>
        <v>-133.5</v>
      </c>
      <c r="S46" s="85"/>
      <c r="T46" s="85"/>
      <c r="U46" s="87" t="e">
        <f t="shared" si="42"/>
        <v>#DIV/0!</v>
      </c>
      <c r="V46" s="86">
        <v>133.5</v>
      </c>
      <c r="W46" s="86">
        <f t="shared" si="46"/>
        <v>40.05</v>
      </c>
      <c r="X46" s="46">
        <f t="shared" si="32"/>
        <v>173.55</v>
      </c>
      <c r="Y46" s="57">
        <v>0</v>
      </c>
      <c r="Z46" s="101">
        <f t="shared" si="4"/>
        <v>-133.5</v>
      </c>
      <c r="AA46" s="85"/>
      <c r="AB46" s="85"/>
      <c r="AC46" s="87" t="e">
        <f t="shared" si="43"/>
        <v>#DIV/0!</v>
      </c>
      <c r="AD46" s="86">
        <v>133.5</v>
      </c>
      <c r="AE46" s="86">
        <f t="shared" si="47"/>
        <v>40.05</v>
      </c>
      <c r="AF46" s="46">
        <f t="shared" si="34"/>
        <v>173.55</v>
      </c>
      <c r="AG46" s="57">
        <v>0</v>
      </c>
      <c r="AH46" s="101">
        <f t="shared" si="6"/>
        <v>-133.5</v>
      </c>
      <c r="AI46" s="86"/>
      <c r="AJ46" s="86"/>
      <c r="AK46" s="87" t="e">
        <f t="shared" si="44"/>
        <v>#DIV/0!</v>
      </c>
      <c r="AL46" s="86">
        <v>133.5</v>
      </c>
      <c r="AM46" s="86">
        <f t="shared" si="48"/>
        <v>40.05</v>
      </c>
      <c r="AN46" s="46">
        <f t="shared" si="36"/>
        <v>173.55</v>
      </c>
      <c r="AO46" s="57">
        <v>0</v>
      </c>
      <c r="AP46" s="101">
        <f t="shared" si="7"/>
        <v>-133.5</v>
      </c>
    </row>
    <row r="47" spans="1:42" s="3" customFormat="1" ht="18.75" customHeight="1" hidden="1">
      <c r="A47" s="105">
        <v>15</v>
      </c>
      <c r="B47" s="106" t="s">
        <v>103</v>
      </c>
      <c r="C47" s="83">
        <f t="shared" si="37"/>
        <v>0</v>
      </c>
      <c r="D47" s="83">
        <f t="shared" si="38"/>
        <v>0</v>
      </c>
      <c r="E47" s="83"/>
      <c r="F47" s="83">
        <f t="shared" si="23"/>
        <v>533.6</v>
      </c>
      <c r="G47" s="83">
        <f t="shared" si="39"/>
        <v>160.08</v>
      </c>
      <c r="H47" s="57">
        <f t="shared" si="29"/>
        <v>693.6800000000001</v>
      </c>
      <c r="I47" s="83">
        <f t="shared" si="40"/>
        <v>0</v>
      </c>
      <c r="J47" s="101">
        <f t="shared" si="13"/>
        <v>-533.6</v>
      </c>
      <c r="K47" s="85"/>
      <c r="L47" s="85"/>
      <c r="M47" s="87" t="e">
        <f t="shared" si="41"/>
        <v>#DIV/0!</v>
      </c>
      <c r="N47" s="92">
        <v>133.4</v>
      </c>
      <c r="O47" s="86">
        <f t="shared" si="45"/>
        <v>40.02</v>
      </c>
      <c r="P47" s="50">
        <f t="shared" si="16"/>
        <v>173.42000000000002</v>
      </c>
      <c r="Q47" s="57">
        <v>0</v>
      </c>
      <c r="R47" s="101">
        <f t="shared" si="2"/>
        <v>-133.4</v>
      </c>
      <c r="S47" s="85"/>
      <c r="T47" s="85"/>
      <c r="U47" s="87" t="e">
        <f t="shared" si="42"/>
        <v>#DIV/0!</v>
      </c>
      <c r="V47" s="92">
        <v>133.4</v>
      </c>
      <c r="W47" s="86">
        <f t="shared" si="46"/>
        <v>40.02</v>
      </c>
      <c r="X47" s="46">
        <f t="shared" si="32"/>
        <v>173.42000000000002</v>
      </c>
      <c r="Y47" s="57">
        <v>0</v>
      </c>
      <c r="Z47" s="101">
        <f t="shared" si="4"/>
        <v>-133.4</v>
      </c>
      <c r="AA47" s="85"/>
      <c r="AB47" s="85"/>
      <c r="AC47" s="87" t="e">
        <f t="shared" si="43"/>
        <v>#DIV/0!</v>
      </c>
      <c r="AD47" s="92">
        <v>133.4</v>
      </c>
      <c r="AE47" s="86">
        <f t="shared" si="47"/>
        <v>40.02</v>
      </c>
      <c r="AF47" s="46">
        <f t="shared" si="34"/>
        <v>173.42000000000002</v>
      </c>
      <c r="AG47" s="57">
        <v>0</v>
      </c>
      <c r="AH47" s="101">
        <f t="shared" si="6"/>
        <v>-133.4</v>
      </c>
      <c r="AI47" s="92"/>
      <c r="AJ47" s="86"/>
      <c r="AK47" s="87" t="e">
        <f t="shared" si="44"/>
        <v>#DIV/0!</v>
      </c>
      <c r="AL47" s="92">
        <v>133.4</v>
      </c>
      <c r="AM47" s="86">
        <f t="shared" si="48"/>
        <v>40.02</v>
      </c>
      <c r="AN47" s="46">
        <f t="shared" si="36"/>
        <v>173.42000000000002</v>
      </c>
      <c r="AO47" s="57">
        <v>0</v>
      </c>
      <c r="AP47" s="101">
        <f t="shared" si="7"/>
        <v>-133.4</v>
      </c>
    </row>
    <row r="48" spans="1:42" s="3" customFormat="1" ht="18.75" customHeight="1" hidden="1">
      <c r="A48" s="105">
        <v>16</v>
      </c>
      <c r="B48" s="106" t="s">
        <v>104</v>
      </c>
      <c r="C48" s="83">
        <f t="shared" si="37"/>
        <v>0</v>
      </c>
      <c r="D48" s="83">
        <f t="shared" si="38"/>
        <v>0</v>
      </c>
      <c r="E48" s="83"/>
      <c r="F48" s="83">
        <f t="shared" si="23"/>
        <v>496</v>
      </c>
      <c r="G48" s="83">
        <f t="shared" si="39"/>
        <v>148.79999999999998</v>
      </c>
      <c r="H48" s="57">
        <f t="shared" si="29"/>
        <v>644.8</v>
      </c>
      <c r="I48" s="83">
        <f t="shared" si="40"/>
        <v>0</v>
      </c>
      <c r="J48" s="101">
        <f t="shared" si="13"/>
        <v>-496</v>
      </c>
      <c r="K48" s="85"/>
      <c r="L48" s="85"/>
      <c r="M48" s="87" t="e">
        <f t="shared" si="41"/>
        <v>#DIV/0!</v>
      </c>
      <c r="N48" s="92">
        <v>124</v>
      </c>
      <c r="O48" s="86">
        <f t="shared" si="45"/>
        <v>37.199999999999996</v>
      </c>
      <c r="P48" s="50">
        <f t="shared" si="16"/>
        <v>161.2</v>
      </c>
      <c r="Q48" s="57">
        <v>0</v>
      </c>
      <c r="R48" s="101">
        <f t="shared" si="2"/>
        <v>-124</v>
      </c>
      <c r="S48" s="85"/>
      <c r="T48" s="85"/>
      <c r="U48" s="87" t="e">
        <f t="shared" si="42"/>
        <v>#DIV/0!</v>
      </c>
      <c r="V48" s="92">
        <v>124</v>
      </c>
      <c r="W48" s="86">
        <f t="shared" si="46"/>
        <v>37.199999999999996</v>
      </c>
      <c r="X48" s="46">
        <f t="shared" si="32"/>
        <v>161.2</v>
      </c>
      <c r="Y48" s="57">
        <v>0</v>
      </c>
      <c r="Z48" s="101">
        <f t="shared" si="4"/>
        <v>-124</v>
      </c>
      <c r="AA48" s="85"/>
      <c r="AB48" s="85"/>
      <c r="AC48" s="87" t="e">
        <f t="shared" si="43"/>
        <v>#DIV/0!</v>
      </c>
      <c r="AD48" s="92">
        <v>124</v>
      </c>
      <c r="AE48" s="86">
        <f t="shared" si="47"/>
        <v>37.199999999999996</v>
      </c>
      <c r="AF48" s="46">
        <f t="shared" si="34"/>
        <v>161.2</v>
      </c>
      <c r="AG48" s="57">
        <v>0</v>
      </c>
      <c r="AH48" s="101">
        <f t="shared" si="6"/>
        <v>-124</v>
      </c>
      <c r="AI48" s="92"/>
      <c r="AJ48" s="86"/>
      <c r="AK48" s="87" t="e">
        <f t="shared" si="44"/>
        <v>#DIV/0!</v>
      </c>
      <c r="AL48" s="92">
        <v>124</v>
      </c>
      <c r="AM48" s="86">
        <f t="shared" si="48"/>
        <v>37.199999999999996</v>
      </c>
      <c r="AN48" s="46">
        <f t="shared" si="36"/>
        <v>161.2</v>
      </c>
      <c r="AO48" s="57">
        <v>0</v>
      </c>
      <c r="AP48" s="101">
        <f t="shared" si="7"/>
        <v>-124</v>
      </c>
    </row>
    <row r="49" spans="1:42" ht="24" customHeight="1">
      <c r="A49" s="98" t="s">
        <v>2</v>
      </c>
      <c r="B49" s="99" t="s">
        <v>75</v>
      </c>
      <c r="C49" s="87">
        <f t="shared" si="37"/>
        <v>0</v>
      </c>
      <c r="D49" s="87">
        <f t="shared" si="38"/>
        <v>0</v>
      </c>
      <c r="E49" s="87"/>
      <c r="F49" s="87">
        <f t="shared" si="23"/>
        <v>154827</v>
      </c>
      <c r="G49" s="87">
        <f t="shared" si="39"/>
        <v>46448.1</v>
      </c>
      <c r="H49" s="93">
        <f>SUM(F49:G49)</f>
        <v>201275.1</v>
      </c>
      <c r="I49" s="87">
        <f t="shared" si="40"/>
        <v>0</v>
      </c>
      <c r="J49" s="101">
        <f t="shared" si="13"/>
        <v>-154827</v>
      </c>
      <c r="K49" s="94">
        <v>0</v>
      </c>
      <c r="L49" s="94">
        <v>0</v>
      </c>
      <c r="M49" s="94" t="e">
        <f t="shared" si="41"/>
        <v>#DIV/0!</v>
      </c>
      <c r="N49" s="94">
        <v>39980.4</v>
      </c>
      <c r="O49" s="94">
        <f>(N49/100)*30</f>
        <v>11994.12</v>
      </c>
      <c r="P49" s="94">
        <f>SUM(N49:O49)</f>
        <v>51974.520000000004</v>
      </c>
      <c r="Q49" s="87">
        <v>0</v>
      </c>
      <c r="R49" s="101">
        <f t="shared" si="2"/>
        <v>-39980.4</v>
      </c>
      <c r="S49" s="94">
        <v>0</v>
      </c>
      <c r="T49" s="94">
        <v>0</v>
      </c>
      <c r="U49" s="94">
        <v>0</v>
      </c>
      <c r="V49" s="94">
        <v>35270.2</v>
      </c>
      <c r="W49" s="94">
        <f>(V49/100)*30</f>
        <v>10581.06</v>
      </c>
      <c r="X49" s="94">
        <f>SUM(V49:W49)</f>
        <v>45851.259999999995</v>
      </c>
      <c r="Y49" s="87">
        <v>0</v>
      </c>
      <c r="Z49" s="101">
        <f t="shared" si="4"/>
        <v>-35270.2</v>
      </c>
      <c r="AA49" s="94">
        <v>0</v>
      </c>
      <c r="AB49" s="94">
        <v>0</v>
      </c>
      <c r="AC49" s="94">
        <v>0</v>
      </c>
      <c r="AD49" s="94">
        <v>40637.2</v>
      </c>
      <c r="AE49" s="94">
        <f>(AD49/100)*30</f>
        <v>12191.159999999998</v>
      </c>
      <c r="AF49" s="94">
        <f>SUM(AD49:AE49)</f>
        <v>52828.35999999999</v>
      </c>
      <c r="AG49" s="87">
        <v>0</v>
      </c>
      <c r="AH49" s="101">
        <f t="shared" si="6"/>
        <v>-40637.2</v>
      </c>
      <c r="AI49" s="94">
        <v>0</v>
      </c>
      <c r="AJ49" s="94">
        <v>0</v>
      </c>
      <c r="AK49" s="94">
        <v>0</v>
      </c>
      <c r="AL49" s="94">
        <v>38939.2</v>
      </c>
      <c r="AM49" s="94">
        <f>(AL49/100)*30</f>
        <v>11681.76</v>
      </c>
      <c r="AN49" s="94">
        <f>SUM(AL49:AM49)</f>
        <v>50620.96</v>
      </c>
      <c r="AO49" s="87">
        <v>0</v>
      </c>
      <c r="AP49" s="101">
        <f t="shared" si="7"/>
        <v>-38939.2</v>
      </c>
    </row>
    <row r="50" spans="1:42" ht="31.5">
      <c r="A50" s="98" t="s">
        <v>3</v>
      </c>
      <c r="B50" s="99" t="s">
        <v>77</v>
      </c>
      <c r="C50" s="87">
        <f t="shared" si="37"/>
        <v>411.4</v>
      </c>
      <c r="D50" s="87">
        <f t="shared" si="38"/>
        <v>431.97</v>
      </c>
      <c r="E50" s="87">
        <f>D50/C50*100</f>
        <v>105</v>
      </c>
      <c r="F50" s="87">
        <f t="shared" si="23"/>
        <v>705005.2370370362</v>
      </c>
      <c r="G50" s="87">
        <f t="shared" si="39"/>
        <v>211501.57111111085</v>
      </c>
      <c r="H50" s="93">
        <f>SUM(F50:G50)</f>
        <v>916506.8081481471</v>
      </c>
      <c r="I50" s="87">
        <f t="shared" si="40"/>
        <v>792487.5562222223</v>
      </c>
      <c r="J50" s="101">
        <f t="shared" si="13"/>
        <v>87482.31918518606</v>
      </c>
      <c r="K50" s="94">
        <v>80</v>
      </c>
      <c r="L50" s="94">
        <v>84</v>
      </c>
      <c r="M50" s="94">
        <v>105</v>
      </c>
      <c r="N50" s="94">
        <f>219553.059259259-60350</f>
        <v>159203.059259259</v>
      </c>
      <c r="O50" s="94">
        <f>N50*0.3</f>
        <v>47760.9177777777</v>
      </c>
      <c r="P50" s="94">
        <f>SUM(N50:O50)</f>
        <v>206963.9770370367</v>
      </c>
      <c r="Q50" s="87">
        <v>178146</v>
      </c>
      <c r="R50" s="101">
        <f t="shared" si="2"/>
        <v>18942.940740741004</v>
      </c>
      <c r="S50" s="94">
        <v>90.5</v>
      </c>
      <c r="T50" s="94">
        <v>95.025</v>
      </c>
      <c r="U50" s="94">
        <v>105</v>
      </c>
      <c r="V50" s="94">
        <f>221618.059259259-67450</f>
        <v>154168.059259259</v>
      </c>
      <c r="W50" s="94">
        <f>V50*0.3</f>
        <v>46250.4177777777</v>
      </c>
      <c r="X50" s="94">
        <f>SUM(V50:W50)</f>
        <v>200418.4770370367</v>
      </c>
      <c r="Y50" s="87">
        <v>192807.71155555555</v>
      </c>
      <c r="Z50" s="101">
        <f t="shared" si="4"/>
        <v>38639.652296296554</v>
      </c>
      <c r="AA50" s="94">
        <v>102.7</v>
      </c>
      <c r="AB50" s="94">
        <v>107.83500000000001</v>
      </c>
      <c r="AC50" s="94">
        <v>105</v>
      </c>
      <c r="AD50" s="94">
        <f>239808.059259259-78100</f>
        <v>161708.059259259</v>
      </c>
      <c r="AE50" s="94">
        <f>AD50*0.3</f>
        <v>48512.4177777777</v>
      </c>
      <c r="AF50" s="94">
        <f>SUM(AD50:AE50)</f>
        <v>210220.4770370367</v>
      </c>
      <c r="AG50" s="87">
        <v>208633.01155555557</v>
      </c>
      <c r="AH50" s="101">
        <f t="shared" si="6"/>
        <v>46924.95229629657</v>
      </c>
      <c r="AI50" s="94">
        <v>138.2</v>
      </c>
      <c r="AJ50" s="94">
        <v>145.10999999999999</v>
      </c>
      <c r="AK50" s="94">
        <v>105</v>
      </c>
      <c r="AL50" s="94">
        <v>229926.05925925926</v>
      </c>
      <c r="AM50" s="94">
        <f>AL50*0.3</f>
        <v>68977.81777777777</v>
      </c>
      <c r="AN50" s="94">
        <f>SUM(AL50:AM50)</f>
        <v>298903.87703703705</v>
      </c>
      <c r="AO50" s="87">
        <v>212900.8331111111</v>
      </c>
      <c r="AP50" s="101">
        <f t="shared" si="7"/>
        <v>-17025.226148148155</v>
      </c>
    </row>
    <row r="51" spans="1:42" ht="22.5" customHeight="1">
      <c r="A51" s="98" t="s">
        <v>29</v>
      </c>
      <c r="B51" s="100" t="s">
        <v>61</v>
      </c>
      <c r="C51" s="87">
        <f t="shared" si="37"/>
        <v>77.2</v>
      </c>
      <c r="D51" s="87">
        <f t="shared" si="38"/>
        <v>48.3</v>
      </c>
      <c r="E51" s="87">
        <f>D51/C51*100</f>
        <v>62.56476683937823</v>
      </c>
      <c r="F51" s="87">
        <f t="shared" si="23"/>
        <v>32740.700000000004</v>
      </c>
      <c r="G51" s="87">
        <f t="shared" si="39"/>
        <v>10149.5</v>
      </c>
      <c r="H51" s="93">
        <f>SUM(F51:G51)</f>
        <v>42890.200000000004</v>
      </c>
      <c r="I51" s="87">
        <f t="shared" si="40"/>
        <v>0</v>
      </c>
      <c r="J51" s="101">
        <f t="shared" si="13"/>
        <v>-32740.700000000004</v>
      </c>
      <c r="K51" s="94">
        <v>18</v>
      </c>
      <c r="L51" s="94">
        <v>12.3</v>
      </c>
      <c r="M51" s="94">
        <f>L51/K51*100</f>
        <v>68.33333333333333</v>
      </c>
      <c r="N51" s="94">
        <v>7605.300000000001</v>
      </c>
      <c r="O51" s="94">
        <f>ROUND(N51*0.31,1)</f>
        <v>2357.6</v>
      </c>
      <c r="P51" s="94">
        <f>SUM(N51:O51)</f>
        <v>9962.900000000001</v>
      </c>
      <c r="Q51" s="87">
        <v>0</v>
      </c>
      <c r="R51" s="101">
        <f t="shared" si="2"/>
        <v>-7605.300000000001</v>
      </c>
      <c r="S51" s="94">
        <v>18</v>
      </c>
      <c r="T51" s="94">
        <v>12</v>
      </c>
      <c r="U51" s="94">
        <f t="shared" si="42"/>
        <v>66.66666666666666</v>
      </c>
      <c r="V51" s="94">
        <v>6845.600000000001</v>
      </c>
      <c r="W51" s="94">
        <f>ROUND(V51*0.31,1)</f>
        <v>2122.1</v>
      </c>
      <c r="X51" s="94">
        <f>SUM(V51:W51)</f>
        <v>8967.7</v>
      </c>
      <c r="Y51" s="87">
        <v>0</v>
      </c>
      <c r="Z51" s="101">
        <f t="shared" si="4"/>
        <v>-6845.600000000001</v>
      </c>
      <c r="AA51" s="94">
        <v>24.2</v>
      </c>
      <c r="AB51" s="94">
        <v>12</v>
      </c>
      <c r="AC51" s="94">
        <f t="shared" si="43"/>
        <v>49.586776859504134</v>
      </c>
      <c r="AD51" s="94">
        <v>7440.300000000001</v>
      </c>
      <c r="AE51" s="94">
        <f>ROUND(AD51*0.31,1)</f>
        <v>2306.5</v>
      </c>
      <c r="AF51" s="94">
        <f>SUM(AD51:AE51)</f>
        <v>9746.800000000001</v>
      </c>
      <c r="AG51" s="87">
        <v>0</v>
      </c>
      <c r="AH51" s="101">
        <f t="shared" si="6"/>
        <v>-7440.300000000001</v>
      </c>
      <c r="AI51" s="94">
        <v>17</v>
      </c>
      <c r="AJ51" s="94">
        <v>12</v>
      </c>
      <c r="AK51" s="94">
        <f t="shared" si="44"/>
        <v>70.58823529411765</v>
      </c>
      <c r="AL51" s="94">
        <v>10849.5</v>
      </c>
      <c r="AM51" s="94">
        <f>ROUND(AL51*0.31,1)</f>
        <v>3363.3</v>
      </c>
      <c r="AN51" s="94">
        <f>SUM(AL51:AM51)</f>
        <v>14212.8</v>
      </c>
      <c r="AO51" s="87">
        <v>0</v>
      </c>
      <c r="AP51" s="101">
        <f t="shared" si="7"/>
        <v>-10849.5</v>
      </c>
    </row>
    <row r="52" spans="1:42" ht="18.75">
      <c r="A52" s="98" t="s">
        <v>30</v>
      </c>
      <c r="B52" s="100" t="s">
        <v>62</v>
      </c>
      <c r="C52" s="87">
        <f t="shared" si="37"/>
        <v>9548</v>
      </c>
      <c r="D52" s="87">
        <f t="shared" si="38"/>
        <v>2391.5</v>
      </c>
      <c r="E52" s="87">
        <f>D52/C52*100</f>
        <v>25.047130289065773</v>
      </c>
      <c r="F52" s="87">
        <f t="shared" si="23"/>
        <v>57934</v>
      </c>
      <c r="G52" s="87">
        <f t="shared" si="39"/>
        <v>17365.736999999997</v>
      </c>
      <c r="H52" s="93">
        <f>SUM(F52:G52)</f>
        <v>75299.737</v>
      </c>
      <c r="I52" s="87">
        <f t="shared" si="40"/>
        <v>16903.2</v>
      </c>
      <c r="J52" s="101">
        <f t="shared" si="13"/>
        <v>-41030.8</v>
      </c>
      <c r="K52" s="94">
        <v>2387</v>
      </c>
      <c r="L52" s="94">
        <v>450.3</v>
      </c>
      <c r="M52" s="94">
        <f t="shared" si="41"/>
        <v>18.864683703393382</v>
      </c>
      <c r="N52" s="94">
        <v>14724</v>
      </c>
      <c r="O52" s="94">
        <f>N52*30%</f>
        <v>4417.2</v>
      </c>
      <c r="P52" s="94">
        <f>SUM(N52:O52)</f>
        <v>19141.2</v>
      </c>
      <c r="Q52" s="87">
        <v>3145.5</v>
      </c>
      <c r="R52" s="101">
        <f t="shared" si="2"/>
        <v>-11578.5</v>
      </c>
      <c r="S52" s="94">
        <v>2387</v>
      </c>
      <c r="T52" s="94">
        <v>556.7</v>
      </c>
      <c r="U52" s="94">
        <f t="shared" si="42"/>
        <v>23.322161709258484</v>
      </c>
      <c r="V52" s="94">
        <v>14463</v>
      </c>
      <c r="W52" s="94">
        <f>V52*29.9%</f>
        <v>4324.437</v>
      </c>
      <c r="X52" s="94">
        <f>SUM(V52:W52)</f>
        <v>18787.436999999998</v>
      </c>
      <c r="Y52" s="87">
        <v>3992</v>
      </c>
      <c r="Z52" s="101">
        <f t="shared" si="4"/>
        <v>-10471</v>
      </c>
      <c r="AA52" s="94">
        <v>2387</v>
      </c>
      <c r="AB52" s="94">
        <v>668.4</v>
      </c>
      <c r="AC52" s="94">
        <f t="shared" si="43"/>
        <v>28.001675743611226</v>
      </c>
      <c r="AD52" s="94">
        <v>14730</v>
      </c>
      <c r="AE52" s="94">
        <f>AD52*30%</f>
        <v>4419</v>
      </c>
      <c r="AF52" s="94">
        <f>SUM(AD52:AE52)</f>
        <v>19149</v>
      </c>
      <c r="AG52" s="87">
        <v>4901.9</v>
      </c>
      <c r="AH52" s="101">
        <f t="shared" si="6"/>
        <v>-9828.1</v>
      </c>
      <c r="AI52" s="94">
        <v>2387</v>
      </c>
      <c r="AJ52" s="94">
        <v>716.1</v>
      </c>
      <c r="AK52" s="94">
        <f t="shared" si="44"/>
        <v>30</v>
      </c>
      <c r="AL52" s="94">
        <v>14017</v>
      </c>
      <c r="AM52" s="94">
        <f>AL52*30%</f>
        <v>4205.099999999999</v>
      </c>
      <c r="AN52" s="94">
        <f>SUM(AL52:AM52)</f>
        <v>18222.1</v>
      </c>
      <c r="AO52" s="87">
        <v>4863.8</v>
      </c>
      <c r="AP52" s="101">
        <f t="shared" si="7"/>
        <v>-9153.2</v>
      </c>
    </row>
    <row r="54" spans="3:9" ht="20.25">
      <c r="C54" s="73" t="s">
        <v>111</v>
      </c>
      <c r="D54" s="74" t="s">
        <v>112</v>
      </c>
      <c r="E54" s="74"/>
      <c r="F54" s="75"/>
      <c r="G54" s="75"/>
      <c r="H54" s="75"/>
      <c r="I54" s="74"/>
    </row>
    <row r="55" spans="3:9" ht="20.25">
      <c r="C55" s="73"/>
      <c r="D55" s="74" t="s">
        <v>113</v>
      </c>
      <c r="E55" s="74"/>
      <c r="F55" s="75"/>
      <c r="G55" s="75"/>
      <c r="H55" s="75"/>
      <c r="I55" s="74"/>
    </row>
    <row r="56" spans="3:5" ht="20.25">
      <c r="C56" s="1"/>
      <c r="D56" s="74" t="s">
        <v>115</v>
      </c>
      <c r="E56" s="74"/>
    </row>
    <row r="57" ht="20.25">
      <c r="D57" s="74" t="s">
        <v>114</v>
      </c>
    </row>
  </sheetData>
  <sheetProtection/>
  <mergeCells count="37">
    <mergeCell ref="C5:J5"/>
    <mergeCell ref="J6:J7"/>
    <mergeCell ref="AP6:AP7"/>
    <mergeCell ref="AO6:AO7"/>
    <mergeCell ref="AI5:AP5"/>
    <mergeCell ref="AA5:AH5"/>
    <mergeCell ref="AH6:AH7"/>
    <mergeCell ref="Z6:Z7"/>
    <mergeCell ref="N6:N7"/>
    <mergeCell ref="O6:O7"/>
    <mergeCell ref="AL6:AL7"/>
    <mergeCell ref="S5:Z5"/>
    <mergeCell ref="AF6:AF7"/>
    <mergeCell ref="AG6:AG7"/>
    <mergeCell ref="AI6:AK6"/>
    <mergeCell ref="S6:U6"/>
    <mergeCell ref="V6:V7"/>
    <mergeCell ref="I6:I7"/>
    <mergeCell ref="K5:R5"/>
    <mergeCell ref="R6:R7"/>
    <mergeCell ref="AN6:AN7"/>
    <mergeCell ref="W6:W7"/>
    <mergeCell ref="X6:X7"/>
    <mergeCell ref="Y6:Y7"/>
    <mergeCell ref="AA6:AC6"/>
    <mergeCell ref="AD6:AD7"/>
    <mergeCell ref="AE6:AE7"/>
    <mergeCell ref="K6:M6"/>
    <mergeCell ref="AM6:AM7"/>
    <mergeCell ref="A5:A7"/>
    <mergeCell ref="B5:B7"/>
    <mergeCell ref="P6:P7"/>
    <mergeCell ref="Q6:Q7"/>
    <mergeCell ref="C6:E6"/>
    <mergeCell ref="F6:F7"/>
    <mergeCell ref="G6:G7"/>
    <mergeCell ref="H6:H7"/>
  </mergeCells>
  <printOptions horizontalCentered="1"/>
  <pageMargins left="0" right="0" top="1.1811023622047245" bottom="0" header="0.5118110236220472" footer="0.5118110236220472"/>
  <pageSetup blackAndWhite="1" horizontalDpi="600" verticalDpi="600" orientation="landscape" paperSize="9" scale="40" r:id="rId1"/>
  <colBreaks count="2" manualBreakCount="2">
    <brk id="10" min="2" max="51" man="1"/>
    <brk id="40" min="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Федосеенко Татьяна Викторовна</cp:lastModifiedBy>
  <cp:lastPrinted>2023-11-29T13:38:30Z</cp:lastPrinted>
  <dcterms:created xsi:type="dcterms:W3CDTF">2021-02-19T09:50:22Z</dcterms:created>
  <dcterms:modified xsi:type="dcterms:W3CDTF">2023-11-29T13:40:08Z</dcterms:modified>
  <cp:category/>
  <cp:version/>
  <cp:contentType/>
  <cp:contentStatus/>
</cp:coreProperties>
</file>