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15" yWindow="1515" windowWidth="21600" windowHeight="11685"/>
  </bookViews>
  <sheets>
    <sheet name="2" sheetId="2" r:id="rId1"/>
  </sheets>
  <definedNames>
    <definedName name="_xlnm._FilterDatabase" localSheetId="0" hidden="1">'2'!$A$8:$V$512</definedName>
    <definedName name="_xlnm.Print_Area" localSheetId="0">'2'!$A$1:$V$512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3" i="2" l="1"/>
  <c r="S332" i="2"/>
  <c r="O331" i="2"/>
  <c r="F280" i="2"/>
  <c r="S370" i="2" l="1"/>
  <c r="O73" i="2"/>
  <c r="S72" i="2"/>
  <c r="O270" i="2"/>
  <c r="O451" i="2"/>
  <c r="O450" i="2"/>
  <c r="S336" i="2"/>
  <c r="S334" i="2"/>
  <c r="O334" i="2"/>
  <c r="S333" i="2"/>
  <c r="O269" i="2"/>
  <c r="F196" i="2"/>
  <c r="Q195" i="2"/>
  <c r="K195" i="2"/>
  <c r="J195" i="2"/>
  <c r="S174" i="2"/>
  <c r="M173" i="2"/>
  <c r="O115" i="2"/>
  <c r="O116" i="2"/>
  <c r="O102" i="2"/>
  <c r="O101" i="2"/>
  <c r="O109" i="2"/>
  <c r="O106" i="2"/>
  <c r="G365" i="2" l="1"/>
  <c r="J283" i="2"/>
  <c r="O271" i="2"/>
  <c r="S511" i="2"/>
  <c r="S510" i="2"/>
  <c r="S509" i="2"/>
  <c r="S508" i="2"/>
  <c r="S507" i="2"/>
  <c r="S469" i="2"/>
  <c r="O444" i="2"/>
  <c r="O441" i="2"/>
  <c r="S438" i="2"/>
  <c r="O435" i="2"/>
  <c r="K435" i="2"/>
  <c r="O432" i="2"/>
  <c r="O431" i="2"/>
  <c r="O428" i="2"/>
  <c r="O427" i="2"/>
  <c r="O426" i="2"/>
  <c r="S425" i="2"/>
  <c r="O424" i="2"/>
  <c r="S423" i="2"/>
  <c r="O422" i="2"/>
  <c r="O420" i="2"/>
  <c r="S416" i="2"/>
  <c r="S412" i="2"/>
  <c r="O402" i="2"/>
  <c r="O401" i="2"/>
  <c r="U399" i="2"/>
  <c r="O400" i="2"/>
  <c r="O398" i="2"/>
  <c r="O397" i="2"/>
  <c r="K395" i="2"/>
  <c r="O393" i="2"/>
  <c r="O389" i="2"/>
  <c r="G388" i="2"/>
  <c r="O387" i="2"/>
  <c r="O386" i="2"/>
  <c r="G383" i="2"/>
  <c r="G382" i="2"/>
  <c r="G380" i="2"/>
  <c r="J378" i="2"/>
  <c r="O376" i="2"/>
  <c r="O339" i="2"/>
  <c r="O321" i="2"/>
  <c r="O320" i="2"/>
  <c r="O318" i="2"/>
  <c r="O316" i="2"/>
  <c r="G315" i="2"/>
  <c r="G314" i="2"/>
  <c r="O309" i="2"/>
  <c r="O291" i="2"/>
  <c r="O290" i="2"/>
  <c r="O288" i="2"/>
  <c r="S288" i="2"/>
  <c r="O283" i="2"/>
  <c r="S281" i="2"/>
  <c r="S276" i="2"/>
  <c r="S275" i="2"/>
  <c r="S274" i="2"/>
  <c r="S273" i="2"/>
  <c r="S272" i="2"/>
  <c r="S268" i="2"/>
  <c r="S264" i="2"/>
  <c r="S263" i="2"/>
  <c r="S262" i="2"/>
  <c r="G255" i="2"/>
  <c r="J253" i="2"/>
  <c r="F253" i="2"/>
  <c r="O249" i="2"/>
  <c r="O247" i="2"/>
  <c r="K246" i="2"/>
  <c r="J246" i="2"/>
  <c r="F246" i="2"/>
  <c r="G245" i="2"/>
  <c r="F245" i="2"/>
  <c r="S230" i="2"/>
  <c r="O216" i="2"/>
  <c r="K215" i="2"/>
  <c r="O213" i="2"/>
  <c r="S212" i="2"/>
  <c r="J211" i="2"/>
  <c r="S210" i="2"/>
  <c r="U210" i="2"/>
  <c r="O209" i="2"/>
  <c r="K208" i="2"/>
  <c r="S207" i="2"/>
  <c r="G205" i="2"/>
  <c r="J204" i="2"/>
  <c r="K203" i="2"/>
  <c r="O188" i="2"/>
  <c r="S183" i="2"/>
  <c r="S182" i="2"/>
  <c r="S179" i="2"/>
  <c r="S178" i="2"/>
  <c r="S177" i="2"/>
  <c r="S176" i="2"/>
  <c r="S171" i="2"/>
  <c r="S170" i="2"/>
  <c r="S169" i="2"/>
  <c r="S168" i="2"/>
  <c r="S166" i="2"/>
  <c r="S164" i="2"/>
  <c r="J162" i="2"/>
  <c r="S159" i="2"/>
  <c r="S157" i="2"/>
  <c r="S155" i="2"/>
  <c r="O154" i="2"/>
  <c r="O152" i="2"/>
  <c r="M140" i="2"/>
  <c r="S138" i="2"/>
  <c r="U136" i="2"/>
  <c r="O130" i="2"/>
  <c r="O129" i="2"/>
  <c r="O128" i="2"/>
  <c r="O127" i="2"/>
  <c r="O63" i="2"/>
  <c r="K60" i="2"/>
  <c r="K59" i="2"/>
  <c r="O45" i="2"/>
  <c r="O40" i="2"/>
  <c r="O34" i="2"/>
  <c r="S32" i="2"/>
  <c r="O30" i="2"/>
  <c r="S28" i="2"/>
  <c r="S21" i="2"/>
  <c r="S20" i="2"/>
  <c r="J206" i="2"/>
  <c r="F205" i="2"/>
  <c r="Q435" i="2"/>
  <c r="J431" i="2"/>
  <c r="K441" i="2"/>
  <c r="G444" i="2"/>
  <c r="K489" i="2" l="1"/>
  <c r="S479" i="2"/>
  <c r="G402" i="2" l="1"/>
  <c r="G401" i="2"/>
  <c r="G398" i="2"/>
  <c r="G397" i="2"/>
  <c r="F388" i="2"/>
  <c r="O378" i="2"/>
  <c r="O319" i="2"/>
  <c r="O289" i="2"/>
  <c r="J255" i="2"/>
  <c r="G253" i="2"/>
  <c r="J245" i="2"/>
  <c r="O224" i="2"/>
  <c r="U220" i="2"/>
  <c r="S220" i="2"/>
  <c r="O217" i="2"/>
  <c r="J217" i="2"/>
  <c r="S216" i="2"/>
  <c r="K214" i="2"/>
  <c r="O214" i="2"/>
  <c r="S213" i="2"/>
  <c r="Q213" i="2"/>
  <c r="S211" i="2"/>
  <c r="O211" i="2"/>
  <c r="S209" i="2"/>
  <c r="Q208" i="2"/>
  <c r="O206" i="2"/>
  <c r="Q205" i="2"/>
  <c r="S205" i="2"/>
  <c r="S204" i="2"/>
  <c r="J203" i="2"/>
  <c r="U203" i="2"/>
  <c r="S203" i="2"/>
  <c r="Q203" i="2"/>
  <c r="Q199" i="2"/>
  <c r="Q198" i="2"/>
  <c r="Q197" i="2"/>
  <c r="Q196" i="2"/>
  <c r="O194" i="2"/>
  <c r="Q193" i="2"/>
  <c r="O193" i="2"/>
  <c r="G186" i="2"/>
  <c r="K162" i="2"/>
  <c r="O68" i="2"/>
  <c r="O65" i="2"/>
  <c r="O53" i="2"/>
  <c r="U53" i="2"/>
  <c r="H285" i="2" l="1"/>
  <c r="I285" i="2"/>
  <c r="L285" i="2"/>
  <c r="M285" i="2"/>
  <c r="N285" i="2"/>
  <c r="P285" i="2"/>
  <c r="R285" i="2"/>
  <c r="T285" i="2"/>
  <c r="D284" i="2" l="1"/>
  <c r="V285" i="2" l="1"/>
  <c r="D510" i="2" l="1"/>
  <c r="D509" i="2"/>
  <c r="D508" i="2"/>
  <c r="D507" i="2"/>
  <c r="D504" i="2"/>
  <c r="D503" i="2"/>
  <c r="D502" i="2"/>
  <c r="D501" i="2"/>
  <c r="D500" i="2"/>
  <c r="D499" i="2"/>
  <c r="D498" i="2"/>
  <c r="D497" i="2"/>
  <c r="D496" i="2"/>
  <c r="D495" i="2"/>
  <c r="D494" i="2"/>
  <c r="D493" i="2"/>
  <c r="D492" i="2"/>
  <c r="D491" i="2"/>
  <c r="D490" i="2"/>
  <c r="D489" i="2"/>
  <c r="D488" i="2"/>
  <c r="D487" i="2"/>
  <c r="D486" i="2"/>
  <c r="D485" i="2"/>
  <c r="D484" i="2"/>
  <c r="D483" i="2"/>
  <c r="D482" i="2"/>
  <c r="D481" i="2"/>
  <c r="D480" i="2"/>
  <c r="D479" i="2"/>
  <c r="D478" i="2"/>
  <c r="D477" i="2"/>
  <c r="D476" i="2"/>
  <c r="D475" i="2"/>
  <c r="D474" i="2"/>
  <c r="D473" i="2"/>
  <c r="D472" i="2"/>
  <c r="D471" i="2"/>
  <c r="D470" i="2"/>
  <c r="D469" i="2"/>
  <c r="D467" i="2"/>
  <c r="D466" i="2"/>
  <c r="D465" i="2"/>
  <c r="D464" i="2"/>
  <c r="D463" i="2"/>
  <c r="D462" i="2"/>
  <c r="D461" i="2"/>
  <c r="D459" i="2"/>
  <c r="D458" i="2"/>
  <c r="D457" i="2"/>
  <c r="D456" i="2"/>
  <c r="D455" i="2"/>
  <c r="D454" i="2"/>
  <c r="D453" i="2"/>
  <c r="D452" i="2"/>
  <c r="D451" i="2"/>
  <c r="D450" i="2"/>
  <c r="D449" i="2"/>
  <c r="D448" i="2"/>
  <c r="D447" i="2"/>
  <c r="D444" i="2"/>
  <c r="D441" i="2"/>
  <c r="D438" i="2"/>
  <c r="D435" i="2"/>
  <c r="D432" i="2"/>
  <c r="D431" i="2"/>
  <c r="D428" i="2"/>
  <c r="D427" i="2"/>
  <c r="D426" i="2"/>
  <c r="D425" i="2"/>
  <c r="D424" i="2"/>
  <c r="D423" i="2"/>
  <c r="D422" i="2"/>
  <c r="D420" i="2"/>
  <c r="D417" i="2"/>
  <c r="D416" i="2"/>
  <c r="D414" i="2"/>
  <c r="D413" i="2"/>
  <c r="D412" i="2"/>
  <c r="D411" i="2"/>
  <c r="D409" i="2"/>
  <c r="D408" i="2"/>
  <c r="D406" i="2"/>
  <c r="D405" i="2"/>
  <c r="D402" i="2"/>
  <c r="D401" i="2"/>
  <c r="D400" i="2"/>
  <c r="D399" i="2"/>
  <c r="D398" i="2"/>
  <c r="D397" i="2"/>
  <c r="D395" i="2"/>
  <c r="D393" i="2"/>
  <c r="D390" i="2"/>
  <c r="D389" i="2"/>
  <c r="D388" i="2"/>
  <c r="D387" i="2"/>
  <c r="D386" i="2"/>
  <c r="D385" i="2"/>
  <c r="D384" i="2"/>
  <c r="D383" i="2"/>
  <c r="D382" i="2"/>
  <c r="D381" i="2"/>
  <c r="D380" i="2"/>
  <c r="D376" i="2"/>
  <c r="D378" i="2"/>
  <c r="D370" i="2"/>
  <c r="D369" i="2"/>
  <c r="D367" i="2"/>
  <c r="D366" i="2"/>
  <c r="D365" i="2"/>
  <c r="D362" i="2"/>
  <c r="D361" i="2"/>
  <c r="D360" i="2"/>
  <c r="D359" i="2"/>
  <c r="D358" i="2"/>
  <c r="D355" i="2"/>
  <c r="D352" i="2"/>
  <c r="D351" i="2"/>
  <c r="D348" i="2"/>
  <c r="D347" i="2"/>
  <c r="D346" i="2"/>
  <c r="D345" i="2"/>
  <c r="D344" i="2"/>
  <c r="D342" i="2"/>
  <c r="D339" i="2"/>
  <c r="D338" i="2"/>
  <c r="D336" i="2"/>
  <c r="D334" i="2"/>
  <c r="D333" i="2"/>
  <c r="D332" i="2"/>
  <c r="D331" i="2"/>
  <c r="D330" i="2"/>
  <c r="D329" i="2"/>
  <c r="D328" i="2"/>
  <c r="D327" i="2"/>
  <c r="D326" i="2"/>
  <c r="D325" i="2"/>
  <c r="D324" i="2"/>
  <c r="D322" i="2"/>
  <c r="D321" i="2"/>
  <c r="D320" i="2"/>
  <c r="D319" i="2"/>
  <c r="D318" i="2"/>
  <c r="D317" i="2"/>
  <c r="D316" i="2"/>
  <c r="D315" i="2"/>
  <c r="D314" i="2"/>
  <c r="D312" i="2"/>
  <c r="D311" i="2"/>
  <c r="D310" i="2"/>
  <c r="D309" i="2"/>
  <c r="D306" i="2"/>
  <c r="D305" i="2"/>
  <c r="D304" i="2"/>
  <c r="D301" i="2"/>
  <c r="D299" i="2"/>
  <c r="D297" i="2"/>
  <c r="D296" i="2"/>
  <c r="D294" i="2"/>
  <c r="D293" i="2"/>
  <c r="D291" i="2"/>
  <c r="D290" i="2"/>
  <c r="D289" i="2"/>
  <c r="D288" i="2"/>
  <c r="D282" i="2"/>
  <c r="D266" i="2"/>
  <c r="D259" i="2"/>
  <c r="D258" i="2"/>
  <c r="D257" i="2"/>
  <c r="D256" i="2"/>
  <c r="D255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1" i="2"/>
  <c r="D240" i="2"/>
  <c r="D239" i="2"/>
  <c r="D238" i="2"/>
  <c r="D237" i="2"/>
  <c r="D234" i="2"/>
  <c r="D224" i="2"/>
  <c r="D220" i="2"/>
  <c r="D213" i="2"/>
  <c r="D206" i="2"/>
  <c r="D199" i="2"/>
  <c r="D198" i="2"/>
  <c r="D197" i="2"/>
  <c r="D196" i="2"/>
  <c r="D195" i="2"/>
  <c r="D194" i="2"/>
  <c r="D193" i="2"/>
  <c r="D190" i="2"/>
  <c r="D189" i="2"/>
  <c r="D188" i="2"/>
  <c r="D187" i="2"/>
  <c r="D186" i="2"/>
  <c r="D181" i="2"/>
  <c r="D179" i="2"/>
  <c r="D177" i="2"/>
  <c r="D176" i="2"/>
  <c r="D174" i="2"/>
  <c r="D170" i="2"/>
  <c r="D169" i="2"/>
  <c r="D166" i="2"/>
  <c r="D165" i="2"/>
  <c r="D163" i="2"/>
  <c r="D162" i="2"/>
  <c r="D161" i="2"/>
  <c r="D160" i="2"/>
  <c r="D159" i="2"/>
  <c r="D158" i="2"/>
  <c r="D156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19" i="2"/>
  <c r="D118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8" i="2"/>
  <c r="D67" i="2"/>
  <c r="D65" i="2"/>
  <c r="D63" i="2"/>
  <c r="D62" i="2"/>
  <c r="D60" i="2"/>
  <c r="D59" i="2"/>
  <c r="D57" i="2"/>
  <c r="D56" i="2"/>
  <c r="D55" i="2"/>
  <c r="D54" i="2"/>
  <c r="D53" i="2"/>
  <c r="D50" i="2"/>
  <c r="D47" i="2"/>
  <c r="D46" i="2"/>
  <c r="D45" i="2"/>
  <c r="D44" i="2"/>
  <c r="D43" i="2"/>
  <c r="D42" i="2"/>
  <c r="D41" i="2"/>
  <c r="D40" i="2"/>
  <c r="D39" i="2"/>
  <c r="D37" i="2"/>
  <c r="D35" i="2"/>
  <c r="D32" i="2"/>
  <c r="D31" i="2"/>
  <c r="D30" i="2"/>
  <c r="D28" i="2"/>
  <c r="D27" i="2"/>
  <c r="D26" i="2"/>
  <c r="D18" i="2"/>
  <c r="D16" i="2"/>
  <c r="D15" i="2"/>
  <c r="D14" i="2"/>
  <c r="D13" i="2"/>
  <c r="D12" i="2"/>
  <c r="V373" i="2" l="1"/>
  <c r="V512" i="2" l="1"/>
  <c r="V9" i="2" l="1"/>
  <c r="O511" i="2"/>
  <c r="O372" i="2"/>
  <c r="O272" i="2"/>
  <c r="D269" i="2"/>
  <c r="D511" i="2" l="1"/>
  <c r="D372" i="2"/>
  <c r="O343" i="2"/>
  <c r="D154" i="2"/>
  <c r="D343" i="2" l="1"/>
  <c r="E406" i="2"/>
  <c r="E405" i="2"/>
  <c r="K404" i="2"/>
  <c r="E334" i="2"/>
  <c r="E333" i="2"/>
  <c r="E332" i="2"/>
  <c r="E331" i="2"/>
  <c r="E330" i="2"/>
  <c r="E329" i="2"/>
  <c r="E328" i="2"/>
  <c r="E327" i="2"/>
  <c r="E326" i="2"/>
  <c r="E325" i="2"/>
  <c r="E324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D404" i="2" l="1"/>
  <c r="E511" i="2"/>
  <c r="E510" i="2"/>
  <c r="E509" i="2"/>
  <c r="E508" i="2"/>
  <c r="E507" i="2"/>
  <c r="E284" i="2"/>
  <c r="E282" i="2"/>
  <c r="O281" i="2"/>
  <c r="O280" i="2"/>
  <c r="S278" i="2"/>
  <c r="O278" i="2"/>
  <c r="S277" i="2"/>
  <c r="O277" i="2"/>
  <c r="O276" i="2"/>
  <c r="O275" i="2"/>
  <c r="O274" i="2"/>
  <c r="O273" i="2"/>
  <c r="D272" i="2"/>
  <c r="E269" i="2"/>
  <c r="O268" i="2"/>
  <c r="S267" i="2"/>
  <c r="O267" i="2"/>
  <c r="E266" i="2"/>
  <c r="S265" i="2"/>
  <c r="O265" i="2"/>
  <c r="O264" i="2"/>
  <c r="O263" i="2"/>
  <c r="F285" i="2" l="1"/>
  <c r="E404" i="2"/>
  <c r="D263" i="2"/>
  <c r="D264" i="2"/>
  <c r="D265" i="2"/>
  <c r="D280" i="2"/>
  <c r="D270" i="2"/>
  <c r="D262" i="2"/>
  <c r="D267" i="2"/>
  <c r="D268" i="2"/>
  <c r="D271" i="2"/>
  <c r="D273" i="2"/>
  <c r="D274" i="2"/>
  <c r="D275" i="2"/>
  <c r="D276" i="2"/>
  <c r="D277" i="2"/>
  <c r="D278" i="2"/>
  <c r="D279" i="2"/>
  <c r="D281" i="2"/>
  <c r="D283" i="2"/>
  <c r="E272" i="2"/>
  <c r="E283" i="2" l="1"/>
  <c r="E279" i="2"/>
  <c r="E277" i="2"/>
  <c r="E275" i="2"/>
  <c r="E273" i="2"/>
  <c r="E268" i="2"/>
  <c r="E262" i="2"/>
  <c r="E280" i="2"/>
  <c r="E264" i="2"/>
  <c r="E281" i="2"/>
  <c r="E278" i="2"/>
  <c r="E276" i="2"/>
  <c r="E274" i="2"/>
  <c r="E271" i="2"/>
  <c r="E267" i="2"/>
  <c r="E270" i="2"/>
  <c r="E265" i="2"/>
  <c r="E263" i="2"/>
  <c r="U512" i="2" l="1"/>
  <c r="T512" i="2"/>
  <c r="S512" i="2"/>
  <c r="R512" i="2"/>
  <c r="Q512" i="2"/>
  <c r="P512" i="2"/>
  <c r="O512" i="2"/>
  <c r="N512" i="2"/>
  <c r="L512" i="2"/>
  <c r="K512" i="2"/>
  <c r="J512" i="2"/>
  <c r="I512" i="2"/>
  <c r="H512" i="2"/>
  <c r="G512" i="2"/>
  <c r="F512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7" i="2"/>
  <c r="E466" i="2"/>
  <c r="E465" i="2"/>
  <c r="E464" i="2"/>
  <c r="E463" i="2"/>
  <c r="E462" i="2"/>
  <c r="E461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4" i="2"/>
  <c r="E441" i="2"/>
  <c r="E438" i="2"/>
  <c r="E435" i="2"/>
  <c r="E432" i="2"/>
  <c r="E431" i="2"/>
  <c r="E428" i="2"/>
  <c r="E427" i="2"/>
  <c r="E426" i="2"/>
  <c r="E425" i="2"/>
  <c r="E424" i="2"/>
  <c r="E423" i="2"/>
  <c r="E422" i="2"/>
  <c r="E420" i="2"/>
  <c r="E417" i="2"/>
  <c r="E416" i="2"/>
  <c r="E414" i="2"/>
  <c r="E412" i="2"/>
  <c r="E411" i="2"/>
  <c r="E409" i="2"/>
  <c r="E408" i="2"/>
  <c r="E402" i="2"/>
  <c r="E401" i="2"/>
  <c r="E400" i="2"/>
  <c r="E399" i="2"/>
  <c r="E398" i="2"/>
  <c r="E397" i="2"/>
  <c r="E395" i="2"/>
  <c r="E393" i="2"/>
  <c r="E390" i="2"/>
  <c r="E389" i="2"/>
  <c r="E388" i="2"/>
  <c r="E387" i="2"/>
  <c r="E386" i="2"/>
  <c r="E385" i="2"/>
  <c r="E384" i="2"/>
  <c r="E383" i="2"/>
  <c r="E382" i="2"/>
  <c r="E381" i="2"/>
  <c r="E380" i="2"/>
  <c r="E378" i="2"/>
  <c r="E376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1" i="2"/>
  <c r="E240" i="2"/>
  <c r="E239" i="2"/>
  <c r="E238" i="2"/>
  <c r="E237" i="2"/>
  <c r="O235" i="2"/>
  <c r="E234" i="2"/>
  <c r="O231" i="2"/>
  <c r="K231" i="2"/>
  <c r="O227" i="2"/>
  <c r="J227" i="2"/>
  <c r="O226" i="2"/>
  <c r="J226" i="2"/>
  <c r="E224" i="2"/>
  <c r="O223" i="2"/>
  <c r="E220" i="2"/>
  <c r="O215" i="2"/>
  <c r="E213" i="2"/>
  <c r="O208" i="2"/>
  <c r="O207" i="2"/>
  <c r="E206" i="2"/>
  <c r="Q204" i="2"/>
  <c r="S202" i="2"/>
  <c r="E199" i="2"/>
  <c r="E198" i="2"/>
  <c r="E197" i="2"/>
  <c r="E196" i="2"/>
  <c r="E195" i="2"/>
  <c r="E194" i="2"/>
  <c r="E193" i="2"/>
  <c r="E190" i="2"/>
  <c r="E189" i="2"/>
  <c r="E188" i="2"/>
  <c r="E187" i="2"/>
  <c r="E186" i="2"/>
  <c r="O183" i="2"/>
  <c r="O182" i="2"/>
  <c r="E181" i="2"/>
  <c r="O180" i="2"/>
  <c r="O178" i="2"/>
  <c r="E177" i="2"/>
  <c r="E176" i="2"/>
  <c r="S175" i="2"/>
  <c r="E174" i="2"/>
  <c r="D173" i="2"/>
  <c r="S172" i="2"/>
  <c r="O171" i="2"/>
  <c r="E169" i="2"/>
  <c r="O168" i="2"/>
  <c r="O167" i="2"/>
  <c r="E166" i="2"/>
  <c r="E165" i="2"/>
  <c r="O164" i="2"/>
  <c r="E163" i="2"/>
  <c r="E162" i="2"/>
  <c r="E161" i="2"/>
  <c r="E160" i="2"/>
  <c r="E159" i="2"/>
  <c r="E158" i="2"/>
  <c r="E156" i="2"/>
  <c r="J155" i="2"/>
  <c r="E154" i="2"/>
  <c r="D172" i="2" l="1"/>
  <c r="E172" i="2" s="1"/>
  <c r="K285" i="2"/>
  <c r="D183" i="2"/>
  <c r="D204" i="2"/>
  <c r="D210" i="2"/>
  <c r="D227" i="2"/>
  <c r="D207" i="2"/>
  <c r="D226" i="2"/>
  <c r="D167" i="2"/>
  <c r="D171" i="2"/>
  <c r="D175" i="2"/>
  <c r="D205" i="2"/>
  <c r="D155" i="2"/>
  <c r="D164" i="2"/>
  <c r="D168" i="2"/>
  <c r="D178" i="2"/>
  <c r="D180" i="2"/>
  <c r="D182" i="2"/>
  <c r="D203" i="2"/>
  <c r="D209" i="2"/>
  <c r="D212" i="2"/>
  <c r="D214" i="2"/>
  <c r="D216" i="2"/>
  <c r="D231" i="2"/>
  <c r="M512" i="2"/>
  <c r="E512" i="2" s="1"/>
  <c r="D415" i="2"/>
  <c r="D157" i="2"/>
  <c r="D202" i="2"/>
  <c r="D208" i="2"/>
  <c r="D211" i="2"/>
  <c r="D215" i="2"/>
  <c r="D217" i="2"/>
  <c r="D223" i="2"/>
  <c r="D230" i="2"/>
  <c r="D235" i="2"/>
  <c r="E173" i="2"/>
  <c r="E170" i="2"/>
  <c r="E179" i="2"/>
  <c r="E413" i="2"/>
  <c r="E207" i="2" l="1"/>
  <c r="E183" i="2"/>
  <c r="E230" i="2"/>
  <c r="E217" i="2"/>
  <c r="E211" i="2"/>
  <c r="E202" i="2"/>
  <c r="E415" i="2"/>
  <c r="E231" i="2"/>
  <c r="E214" i="2"/>
  <c r="E209" i="2"/>
  <c r="E182" i="2"/>
  <c r="E178" i="2"/>
  <c r="E164" i="2"/>
  <c r="E205" i="2"/>
  <c r="E171" i="2"/>
  <c r="E226" i="2"/>
  <c r="E227" i="2"/>
  <c r="E204" i="2"/>
  <c r="E235" i="2"/>
  <c r="E223" i="2"/>
  <c r="E215" i="2"/>
  <c r="E208" i="2"/>
  <c r="E157" i="2"/>
  <c r="E216" i="2"/>
  <c r="E212" i="2"/>
  <c r="E203" i="2"/>
  <c r="E180" i="2"/>
  <c r="E168" i="2"/>
  <c r="E155" i="2"/>
  <c r="E175" i="2"/>
  <c r="E167" i="2"/>
  <c r="E210" i="2"/>
  <c r="D512" i="2"/>
  <c r="U373" i="2" l="1"/>
  <c r="T373" i="2"/>
  <c r="S373" i="2"/>
  <c r="R373" i="2"/>
  <c r="Q373" i="2"/>
  <c r="P373" i="2"/>
  <c r="O373" i="2"/>
  <c r="N373" i="2"/>
  <c r="L373" i="2"/>
  <c r="K373" i="2"/>
  <c r="J373" i="2"/>
  <c r="I373" i="2"/>
  <c r="H373" i="2"/>
  <c r="F373" i="2"/>
  <c r="E372" i="2"/>
  <c r="E370" i="2"/>
  <c r="E369" i="2"/>
  <c r="E367" i="2"/>
  <c r="E366" i="2"/>
  <c r="E365" i="2"/>
  <c r="E362" i="2"/>
  <c r="E361" i="2"/>
  <c r="E360" i="2"/>
  <c r="E359" i="2"/>
  <c r="E358" i="2"/>
  <c r="E355" i="2"/>
  <c r="E352" i="2"/>
  <c r="E351" i="2"/>
  <c r="E348" i="2"/>
  <c r="E347" i="2"/>
  <c r="E346" i="2"/>
  <c r="E345" i="2"/>
  <c r="E344" i="2"/>
  <c r="E343" i="2"/>
  <c r="E339" i="2"/>
  <c r="E338" i="2"/>
  <c r="E336" i="2"/>
  <c r="E322" i="2"/>
  <c r="E321" i="2"/>
  <c r="E320" i="2"/>
  <c r="E319" i="2"/>
  <c r="E318" i="2"/>
  <c r="E317" i="2"/>
  <c r="E316" i="2"/>
  <c r="E315" i="2"/>
  <c r="E314" i="2"/>
  <c r="E312" i="2"/>
  <c r="E311" i="2"/>
  <c r="E310" i="2"/>
  <c r="E309" i="2"/>
  <c r="E306" i="2"/>
  <c r="E305" i="2"/>
  <c r="E304" i="2"/>
  <c r="D303" i="2"/>
  <c r="D302" i="2"/>
  <c r="E301" i="2"/>
  <c r="D300" i="2"/>
  <c r="E299" i="2"/>
  <c r="E297" i="2"/>
  <c r="E296" i="2"/>
  <c r="E294" i="2"/>
  <c r="E293" i="2"/>
  <c r="E291" i="2"/>
  <c r="E290" i="2"/>
  <c r="E289" i="2"/>
  <c r="E303" i="2" l="1"/>
  <c r="E300" i="2"/>
  <c r="M373" i="2"/>
  <c r="E302" i="2"/>
  <c r="E288" i="2"/>
  <c r="S136" i="2"/>
  <c r="Q136" i="2"/>
  <c r="S137" i="2"/>
  <c r="Q137" i="2"/>
  <c r="O137" i="2"/>
  <c r="O138" i="2"/>
  <c r="S139" i="2"/>
  <c r="O139" i="2"/>
  <c r="Q139" i="2"/>
  <c r="O136" i="2"/>
  <c r="O134" i="2"/>
  <c r="U134" i="2"/>
  <c r="U285" i="2" s="1"/>
  <c r="O120" i="2"/>
  <c r="J66" i="2"/>
  <c r="G34" i="2"/>
  <c r="O33" i="2"/>
  <c r="D21" i="2"/>
  <c r="O20" i="2"/>
  <c r="Q20" i="2"/>
  <c r="O19" i="2"/>
  <c r="S19" i="2"/>
  <c r="S285" i="2" s="1"/>
  <c r="Q285" i="2" l="1"/>
  <c r="G285" i="2"/>
  <c r="D120" i="2"/>
  <c r="D33" i="2"/>
  <c r="J285" i="2"/>
  <c r="D20" i="2"/>
  <c r="D136" i="2"/>
  <c r="D134" i="2"/>
  <c r="D66" i="2"/>
  <c r="D139" i="2"/>
  <c r="D138" i="2"/>
  <c r="D137" i="2"/>
  <c r="D19" i="2"/>
  <c r="D34" i="2"/>
  <c r="D373" i="2"/>
  <c r="E118" i="2" l="1"/>
  <c r="E119" i="2"/>
  <c r="G373" i="2" l="1"/>
  <c r="N9" i="2"/>
  <c r="D51" i="2" l="1"/>
  <c r="D49" i="2"/>
  <c r="D52" i="2"/>
  <c r="D36" i="2" l="1"/>
  <c r="D135" i="2"/>
  <c r="D38" i="2"/>
  <c r="D29" i="2"/>
  <c r="D25" i="2"/>
  <c r="E31" i="2" l="1"/>
  <c r="E41" i="2"/>
  <c r="O23" i="2" l="1"/>
  <c r="D23" i="2" l="1"/>
  <c r="O285" i="2"/>
  <c r="E47" i="2"/>
  <c r="E23" i="2" l="1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27" i="2"/>
  <c r="E130" i="2"/>
  <c r="E129" i="2"/>
  <c r="E128" i="2"/>
  <c r="E126" i="2"/>
  <c r="E125" i="2"/>
  <c r="E124" i="2"/>
  <c r="E123" i="2"/>
  <c r="E134" i="2"/>
  <c r="E133" i="2"/>
  <c r="E132" i="2"/>
  <c r="E131" i="2"/>
  <c r="E122" i="2"/>
  <c r="D152" i="2" l="1"/>
  <c r="E152" i="2" l="1"/>
  <c r="D285" i="2"/>
  <c r="D9" i="2" l="1"/>
  <c r="E12" i="2"/>
  <c r="E14" i="2" l="1"/>
  <c r="E13" i="2"/>
  <c r="E16" i="2"/>
  <c r="E15" i="2"/>
  <c r="E50" i="2" l="1"/>
  <c r="E51" i="2"/>
  <c r="E52" i="2"/>
  <c r="E53" i="2"/>
  <c r="E54" i="2"/>
  <c r="E55" i="2"/>
  <c r="E56" i="2"/>
  <c r="E57" i="2"/>
  <c r="E49" i="2" l="1"/>
  <c r="E59" i="2"/>
  <c r="E46" i="2" l="1"/>
  <c r="E45" i="2"/>
  <c r="E44" i="2"/>
  <c r="E43" i="2"/>
  <c r="E42" i="2"/>
  <c r="E40" i="2"/>
  <c r="E39" i="2"/>
  <c r="E38" i="2"/>
  <c r="E37" i="2"/>
  <c r="E36" i="2"/>
  <c r="E35" i="2"/>
  <c r="E34" i="2"/>
  <c r="E33" i="2"/>
  <c r="E32" i="2"/>
  <c r="E30" i="2"/>
  <c r="E29" i="2"/>
  <c r="E28" i="2"/>
  <c r="E26" i="2"/>
  <c r="E27" i="2"/>
  <c r="E25" i="2" l="1"/>
  <c r="E120" i="2" l="1"/>
  <c r="E18" i="2" l="1"/>
  <c r="E19" i="2" l="1"/>
  <c r="H9" i="2" l="1"/>
  <c r="I9" i="2"/>
  <c r="J9" i="2"/>
  <c r="K9" i="2"/>
  <c r="M9" i="2"/>
  <c r="O9" i="2"/>
  <c r="P9" i="2"/>
  <c r="Q9" i="2"/>
  <c r="R9" i="2"/>
  <c r="S9" i="2"/>
  <c r="T9" i="2"/>
  <c r="U9" i="2"/>
  <c r="E20" i="2"/>
  <c r="E68" i="2" l="1"/>
  <c r="E66" i="2"/>
  <c r="E63" i="2"/>
  <c r="E60" i="2"/>
  <c r="E67" i="2"/>
  <c r="E65" i="2"/>
  <c r="E62" i="2"/>
  <c r="E21" i="2"/>
  <c r="G9" i="2"/>
  <c r="L9" i="2"/>
  <c r="E285" i="2" l="1"/>
  <c r="F9" i="2" l="1"/>
  <c r="E9" i="2" l="1"/>
</calcChain>
</file>

<file path=xl/sharedStrings.xml><?xml version="1.0" encoding="utf-8"?>
<sst xmlns="http://schemas.openxmlformats.org/spreadsheetml/2006/main" count="544" uniqueCount="480">
  <si>
    <t>Адрес МКД</t>
  </si>
  <si>
    <t>2024 год</t>
  </si>
  <si>
    <t>бул. Ильича, д. 13</t>
  </si>
  <si>
    <t>ул. Стаханова, д. 1</t>
  </si>
  <si>
    <t>ул. Стаханова, д. 3</t>
  </si>
  <si>
    <t>ул. Стаханова, д. 5</t>
  </si>
  <si>
    <t>ул. Стаханова, д. 7</t>
  </si>
  <si>
    <t>ул. Стаханова, д. 9</t>
  </si>
  <si>
    <t>пр. Гагарина, д. 32</t>
  </si>
  <si>
    <t>Городской округ Горловка Донецкой Народной Республики</t>
  </si>
  <si>
    <t>Городской округ Дебальцево Донецкой Народной Республики</t>
  </si>
  <si>
    <t>Городской округ Докучаевск Донецкой Народной Республики</t>
  </si>
  <si>
    <t>Городской округ Донецк Донецкой Народной Республики</t>
  </si>
  <si>
    <t>ул. Челюскинцев, д. 212</t>
  </si>
  <si>
    <t>ул. Бессонова, д. 18</t>
  </si>
  <si>
    <t>ул. Пушкина, д. 9</t>
  </si>
  <si>
    <t>ул. Пушкина, д. 7</t>
  </si>
  <si>
    <t>ул. Ляшенко, д. 8</t>
  </si>
  <si>
    <t>Городской округ Енакиево Донецкой Народной Республики</t>
  </si>
  <si>
    <t>Городской округ Иловайск Донецкой Народной Республики</t>
  </si>
  <si>
    <t>ул. Толбухина, д. 12</t>
  </si>
  <si>
    <t>ул. Коммунистическая, д. 51</t>
  </si>
  <si>
    <t>ул. Шевченко, д. 183</t>
  </si>
  <si>
    <t>ул. Ярославского, д. 7</t>
  </si>
  <si>
    <t>ул. Первомайская, д. 108</t>
  </si>
  <si>
    <t>ул. Шевченко, д. 20</t>
  </si>
  <si>
    <t>Городской округ Макеевка Донецкой Народной Республики</t>
  </si>
  <si>
    <t>Городской округ Снежное Донецкой Народной Республики</t>
  </si>
  <si>
    <t>Городской округ Торез Донецкой Народной Республики</t>
  </si>
  <si>
    <t>ул. 50 лет СССР, д. 9</t>
  </si>
  <si>
    <t>ул. 50 лет СССР, д. 11</t>
  </si>
  <si>
    <t>ул. Сызранцева, д. 76</t>
  </si>
  <si>
    <t>ул. Поповича, д. 4</t>
  </si>
  <si>
    <t>ул. Поповича, д. 12</t>
  </si>
  <si>
    <t>ул. 50 лет СССР, д. 6</t>
  </si>
  <si>
    <t>Городской округ Харцызск Донецкой Народной Республики</t>
  </si>
  <si>
    <t>ул. Октябрьская, д. 84</t>
  </si>
  <si>
    <t>ул. Кондратьева, д. 1</t>
  </si>
  <si>
    <t>ул. Патона, д. 14</t>
  </si>
  <si>
    <t>ул. Молодежная, д. 59</t>
  </si>
  <si>
    <t>Амвросиевский муниципальный округ Донецкой Народной Республики</t>
  </si>
  <si>
    <t>город Амвросиевка Амвросиевского муниципального округа Донецкой Народной Республики</t>
  </si>
  <si>
    <t>Володарский муниципальный округ Донецкой Народной Республики</t>
  </si>
  <si>
    <t>ул. Ленина, д. 11</t>
  </si>
  <si>
    <t>Новоазовский муниципальный округ Донецкой Народной Республики</t>
  </si>
  <si>
    <t>город Новоазовск Новоазовского муниципального округа Донецкой Народной Республики</t>
  </si>
  <si>
    <t>ул. 50 лет СССР, д. 16</t>
  </si>
  <si>
    <t>Старобешевский муниципальный округ Донецкой Народной Республики</t>
  </si>
  <si>
    <t>Тельмановский муниципальный округ Донецкой Народной Республики</t>
  </si>
  <si>
    <t>Шахтерский муниципальный округ Донецкой Народной Республики</t>
  </si>
  <si>
    <t>Ясиноватский муниципальный округ Донецкой Народной Республики</t>
  </si>
  <si>
    <t>Мангушский муниципальный округ Донецкой Народной Республики</t>
  </si>
  <si>
    <t>пгт Володарское Володарского муниципального округа Донецкой Народной Республики</t>
  </si>
  <si>
    <t>город Комсомольское Старобешевского муниципального округа Донецкой Народной Республики</t>
  </si>
  <si>
    <t>пгт Старобешево Старобешевского муниципального округа Донецкой Народной Республики</t>
  </si>
  <si>
    <t>пгт Тельманово Тельмановского муниципального округа Донецкой Народной Республики</t>
  </si>
  <si>
    <t>город Ждановка Шахтерского муниципального округа Донецкой Народной Республики</t>
  </si>
  <si>
    <t>город Кировское Шахтерского муниципального округа Донецкой Народной Республики</t>
  </si>
  <si>
    <t>город Шахтерск Шахтерского муниципального округа Донецкой Народной Республики</t>
  </si>
  <si>
    <t>город Ясиноватая Ясиноватского муниципального округа Донецкой Народной Республики</t>
  </si>
  <si>
    <t>бул. Ленина, д. 10</t>
  </si>
  <si>
    <t>ул. Некрасова, д. 16</t>
  </si>
  <si>
    <t>ул. Некрасова, д. 14</t>
  </si>
  <si>
    <t>пгт Мангуш Мангушского муниципального округа Донецкой Народной Республики</t>
  </si>
  <si>
    <t>ул. Калинина, д. 33/33</t>
  </si>
  <si>
    <t>ул. Калинина, д. 35</t>
  </si>
  <si>
    <t>ул. Мурзы, д. 16</t>
  </si>
  <si>
    <t>ул. Мурзы, д. 32</t>
  </si>
  <si>
    <t>ул. Мурзы, д. 37</t>
  </si>
  <si>
    <t>ул. Матросова, д. 101</t>
  </si>
  <si>
    <t>ул. Старицкого, д. 10</t>
  </si>
  <si>
    <t>пр. Панфилова, д. 6</t>
  </si>
  <si>
    <t>ул. Пинтера, д. 22</t>
  </si>
  <si>
    <t>ул. Петровского, д. 187</t>
  </si>
  <si>
    <t>город Углегорск городского округа Енакиево Донецкой Народной Республики</t>
  </si>
  <si>
    <t>город Юнокоммунаровск городского округа Енакиево Донецкой Народной Республики</t>
  </si>
  <si>
    <t>ул. Айвазовского, д. 78</t>
  </si>
  <si>
    <t>ул. Айвазовского, д. 48</t>
  </si>
  <si>
    <t>ул. Толбухина, д. 10</t>
  </si>
  <si>
    <t>ул. Турутина, д. 125</t>
  </si>
  <si>
    <t>ул. Турутина, д. 135</t>
  </si>
  <si>
    <t>ул. Дружбы, д. 9</t>
  </si>
  <si>
    <t>ул. Станкевского, д. 9</t>
  </si>
  <si>
    <t>ул. Армейская, д. 104</t>
  </si>
  <si>
    <t>ул. Армейская, д. 110</t>
  </si>
  <si>
    <t>бул. Горбачева, д. 3</t>
  </si>
  <si>
    <t>бул. Горбачева, д. 4</t>
  </si>
  <si>
    <t>ул. Руднева, д. 5</t>
  </si>
  <si>
    <t>ул. Успенского, д. 2</t>
  </si>
  <si>
    <t>ул. Ярошенко, д. 2/77</t>
  </si>
  <si>
    <t>ул. Тургенева, д. 1</t>
  </si>
  <si>
    <t>ул. Центральная, д. 28</t>
  </si>
  <si>
    <t>ул. 50 лет СССР, д. 7</t>
  </si>
  <si>
    <t>мкр 3, д. 6</t>
  </si>
  <si>
    <t>мкр 2, д. 43</t>
  </si>
  <si>
    <t>мкр 2, д. 44</t>
  </si>
  <si>
    <t>ул. 50 лет СССР, д. 13</t>
  </si>
  <si>
    <t xml:space="preserve">ул. Сеченова, д. 5 </t>
  </si>
  <si>
    <t>ул. Заречная, д. 1</t>
  </si>
  <si>
    <t xml:space="preserve">ул. Вокзальная, д. 34 </t>
  </si>
  <si>
    <t>ул. Краснознаменская, д. 59</t>
  </si>
  <si>
    <t>ул. Краснознаменская, д. 63</t>
  </si>
  <si>
    <t xml:space="preserve">ул. Кутузова, д. 46 </t>
  </si>
  <si>
    <t xml:space="preserve">ул. Ветеранов, д. 53 </t>
  </si>
  <si>
    <t xml:space="preserve">ул. Вокзальная, д. 46 </t>
  </si>
  <si>
    <t xml:space="preserve">ул. Вокзальная, д. 33 </t>
  </si>
  <si>
    <t xml:space="preserve">ул. Вокзальная, д. 74 </t>
  </si>
  <si>
    <t>ул. Октябрьская, д. 49</t>
  </si>
  <si>
    <t>ул. Дружбы, д. 62</t>
  </si>
  <si>
    <t>ул. Интернациональная, д. 9</t>
  </si>
  <si>
    <t>ул. Ленина, д. 15</t>
  </si>
  <si>
    <t>ул. Ленина, д. 17</t>
  </si>
  <si>
    <t>ул. Ленина, д. 19</t>
  </si>
  <si>
    <t>ул. Ленина, д. 26</t>
  </si>
  <si>
    <t>ул. Калинина, д. 70</t>
  </si>
  <si>
    <t>ул. Ленина, д. 12</t>
  </si>
  <si>
    <t>ул. Шевченко, д. 16</t>
  </si>
  <si>
    <t>мкр. Горняцкий, д. 14</t>
  </si>
  <si>
    <t>мкр. Молодежный, д. 20</t>
  </si>
  <si>
    <t>ул. Панфиловцев, д. 34</t>
  </si>
  <si>
    <t>ул. Орджоникидзе, д. 149</t>
  </si>
  <si>
    <t>ул. Орджоникидзе, д. 151</t>
  </si>
  <si>
    <t>ул. Орджоникидзе, д. 165</t>
  </si>
  <si>
    <t>ул. Орджоникидзе, д. 167</t>
  </si>
  <si>
    <t>ул. Лермонтова, д. 15</t>
  </si>
  <si>
    <t>ул. Заводская, д. 94</t>
  </si>
  <si>
    <t>бул. Ленина, д. 4</t>
  </si>
  <si>
    <t>бул. Ленина, д. 6</t>
  </si>
  <si>
    <t>ул. Почтовая, д. 3</t>
  </si>
  <si>
    <t>ул. Почтовая, д. 4</t>
  </si>
  <si>
    <t>ул. Почтовая, д. 6</t>
  </si>
  <si>
    <t>ул. Почтовая, д. 8</t>
  </si>
  <si>
    <t xml:space="preserve">ул. Невского, д. 9 </t>
  </si>
  <si>
    <t>пер. Мира, д. 8</t>
  </si>
  <si>
    <t>ул. Коммунистическая, д. 14</t>
  </si>
  <si>
    <t>ул. Цусимская, д. 93</t>
  </si>
  <si>
    <t>№ п\п</t>
  </si>
  <si>
    <t>в том числе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</si>
  <si>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</si>
  <si>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</si>
  <si>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</si>
  <si>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</si>
  <si>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</si>
  <si>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</si>
  <si>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электроснабжения</t>
  </si>
  <si>
    <t>теплоснабжения</t>
  </si>
  <si>
    <t>газоснабжения</t>
  </si>
  <si>
    <t>горячего водоснабжения</t>
  </si>
  <si>
    <t>холодного водоснабжения</t>
  </si>
  <si>
    <t>водоотведения</t>
  </si>
  <si>
    <t>ед.</t>
  </si>
  <si>
    <t>Итого по Программе:</t>
  </si>
  <si>
    <t>Ясиноватский муниципальный округ</t>
  </si>
  <si>
    <t>ул. Пионерская, д. 9</t>
  </si>
  <si>
    <t>ул. Пионерская, д. 17</t>
  </si>
  <si>
    <t>ул. Успенского, д. 3</t>
  </si>
  <si>
    <t>ул. Успенского, д. 1</t>
  </si>
  <si>
    <t>ул. Ленина, д. 80</t>
  </si>
  <si>
    <t>ул. Трояновского, д. 6/58</t>
  </si>
  <si>
    <t>ул. Максима Козыря, д. 31</t>
  </si>
  <si>
    <t>пр. Ленинский, д. 11</t>
  </si>
  <si>
    <t>ул. Петровского, д. 191</t>
  </si>
  <si>
    <t>ул. Петровского, д. 99</t>
  </si>
  <si>
    <t>ул. Ляшенко, д. 6</t>
  </si>
  <si>
    <t>ул. Панченко, д. 84/12</t>
  </si>
  <si>
    <t>пр. Ленинский, д. 12</t>
  </si>
  <si>
    <t>ул. Краснозоринская, д. 42</t>
  </si>
  <si>
    <t>мкр. Журавлевка, д. 20</t>
  </si>
  <si>
    <t xml:space="preserve">ул. Театральная, д. 27 </t>
  </si>
  <si>
    <t>ул. Театральная, д. 27 а</t>
  </si>
  <si>
    <t>ул. Суворова, д. 10</t>
  </si>
  <si>
    <t>ул. Ленина, д. 24</t>
  </si>
  <si>
    <t>ул. Ленина, д. 25</t>
  </si>
  <si>
    <t>мкр. Журавлевка, д. 19</t>
  </si>
  <si>
    <t>мкр. Журавлевка, д. 22</t>
  </si>
  <si>
    <t>мкр. 7, д. 19</t>
  </si>
  <si>
    <t>мкр. Журавлевка, д. 53</t>
  </si>
  <si>
    <t>мкр. Журавлевка, д. 15</t>
  </si>
  <si>
    <t>мкр. Журавлевка, д. 24</t>
  </si>
  <si>
    <t>мкр. Журавлевка, д. 17</t>
  </si>
  <si>
    <t>ул. Суворова, д. 18</t>
  </si>
  <si>
    <t>ул. 8-й съезд Советов, д. 102</t>
  </si>
  <si>
    <t>Мангушский муниципальный округ</t>
  </si>
  <si>
    <t>ул. Короленко, д. 27</t>
  </si>
  <si>
    <t>ул. Почтовая, д. 12</t>
  </si>
  <si>
    <t>ул. Почтовая, д. 10</t>
  </si>
  <si>
    <t>ул. Школьная, д. 36</t>
  </si>
  <si>
    <t>ул. Школьная, д. 27</t>
  </si>
  <si>
    <t>ул. Школьная, д. 38</t>
  </si>
  <si>
    <t>ул. Школьная, д. 19</t>
  </si>
  <si>
    <t>ул. Машиностроителей, д. 19</t>
  </si>
  <si>
    <t>ул. Николаева, д. 28</t>
  </si>
  <si>
    <t>ул. Пономаренко, д. 45</t>
  </si>
  <si>
    <t>ул. Малиновского, д. 48</t>
  </si>
  <si>
    <t>ул. Малиновского, д. 50</t>
  </si>
  <si>
    <t>ул. Малиновского, д. 52</t>
  </si>
  <si>
    <t>ул. Ленина, д. 129</t>
  </si>
  <si>
    <t>ул. Тухачевского, д. 23</t>
  </si>
  <si>
    <t>Объем средств, предоставляемых Фондом</t>
  </si>
  <si>
    <t>ул. Изотова, д. 8</t>
  </si>
  <si>
    <t xml:space="preserve">ул. Красношапки, д. 42 </t>
  </si>
  <si>
    <t>ул. Железнодорожная, д. 67</t>
  </si>
  <si>
    <t>ул. Пушкина, д. 21</t>
  </si>
  <si>
    <t>ул. Лихолетова, д. 10</t>
  </si>
  <si>
    <t>ул. Лихолетова, д. 13</t>
  </si>
  <si>
    <t>пр. Ильича, д. 27</t>
  </si>
  <si>
    <t>ул. Калужская, д. 32</t>
  </si>
  <si>
    <t>ул. Калужская, д. 34</t>
  </si>
  <si>
    <t>ул. Коммунистическая, д. 14 б</t>
  </si>
  <si>
    <t>ул. Краснозоринская, д. 40</t>
  </si>
  <si>
    <t>Городской округ Енакиево</t>
  </si>
  <si>
    <t>город Енакиево городского округа Енакиево Донецкой Народной Республики</t>
  </si>
  <si>
    <t>пр. 50 лет Октября, д. 17/56</t>
  </si>
  <si>
    <t>пр. Шевченко, д. 82</t>
  </si>
  <si>
    <t>ул. Зеленая, д. 2</t>
  </si>
  <si>
    <t>ул. Зеленая, д. 4</t>
  </si>
  <si>
    <t>ул. Ярославского, д. 1</t>
  </si>
  <si>
    <t>ул. Ярославского, д. 2</t>
  </si>
  <si>
    <t>ул. Ярославского, д. 3</t>
  </si>
  <si>
    <t>ул. Ярославского, д. 4</t>
  </si>
  <si>
    <t>ул. Ярославского, д. 5</t>
  </si>
  <si>
    <t>ул. Ярославского, д. 6</t>
  </si>
  <si>
    <t>ул. Ярославского, д. 8</t>
  </si>
  <si>
    <t>ул. Западная, д. 80</t>
  </si>
  <si>
    <t>ул. Чудская, д. 22</t>
  </si>
  <si>
    <t>ул. Репина, д. 161</t>
  </si>
  <si>
    <t>ул. Папанина, д. 16/14</t>
  </si>
  <si>
    <t>ул. Заводская, д. 9</t>
  </si>
  <si>
    <t>пр. Гагарина, д. 24</t>
  </si>
  <si>
    <t>ул. Поповича, д. 2</t>
  </si>
  <si>
    <t>ул. Поповича, д. 6</t>
  </si>
  <si>
    <t>ул. Поповича, д. 10</t>
  </si>
  <si>
    <t>город Зугрэс городского округа Харцызск Донецкой Народной Республики</t>
  </si>
  <si>
    <t>ул. 60 лет Октября, д. 7</t>
  </si>
  <si>
    <t>ул. 60 лет Октября, д. 12</t>
  </si>
  <si>
    <t>ул. 60 лет Октября, д. 13</t>
  </si>
  <si>
    <t>ул. 60 лет Октября, д. 63</t>
  </si>
  <si>
    <t>ул. 50 лет СССР, д. 22</t>
  </si>
  <si>
    <t>ул. 50 лет СССР, д. 24</t>
  </si>
  <si>
    <t>ул. Набережная, д. 7</t>
  </si>
  <si>
    <t>пер. Мира, д. 9</t>
  </si>
  <si>
    <t>ул. Первомайская, д. 150</t>
  </si>
  <si>
    <t>ул. Рудакова, д. 76</t>
  </si>
  <si>
    <t>ул. Пушкина, д. 4</t>
  </si>
  <si>
    <t>ул. Куйбышева, д. 169</t>
  </si>
  <si>
    <t>ул. Орджоникидзе, д. 23</t>
  </si>
  <si>
    <t>ул. Армейская, д. 102</t>
  </si>
  <si>
    <t>ул. Аудиторская, д. 4</t>
  </si>
  <si>
    <t>ул. Аудиторская, д. 6</t>
  </si>
  <si>
    <t>ул. Шевченко, д. 80</t>
  </si>
  <si>
    <t>ул. Ярославского, д. 12</t>
  </si>
  <si>
    <t>ул. Ярославского, д. 14</t>
  </si>
  <si>
    <t>ул. Ярославского, д. 16</t>
  </si>
  <si>
    <t>ул. Ленина, д. 139</t>
  </si>
  <si>
    <t>ул. Ленина, д. 143</t>
  </si>
  <si>
    <t>ул. Ленина, д. 146</t>
  </si>
  <si>
    <t>ул. 60 лет Октября, д. 29</t>
  </si>
  <si>
    <t>город Харцызск городского округа Харцызск Донецкой Народной Республики</t>
  </si>
  <si>
    <t xml:space="preserve">пер. Николенко, д. 5 </t>
  </si>
  <si>
    <t xml:space="preserve">пер. Спартаковский, д. 5 </t>
  </si>
  <si>
    <t xml:space="preserve">ул. Вокзальная, д. 76 </t>
  </si>
  <si>
    <t>ул. Героев Сталинграда, д. 9</t>
  </si>
  <si>
    <t>ул. Шалимова, д. 2</t>
  </si>
  <si>
    <t>ул. Шалимова, д. 8</t>
  </si>
  <si>
    <t>ул. Интернациональная, д. 7</t>
  </si>
  <si>
    <t>ул. Интернациональная, д. 11</t>
  </si>
  <si>
    <t>ул. Карла Маркса, д. 47</t>
  </si>
  <si>
    <t>ул. Морских Десантников, д. 42</t>
  </si>
  <si>
    <t>ул. 50 лет СССР, д. 20</t>
  </si>
  <si>
    <t>ул. Школьная, д. 2</t>
  </si>
  <si>
    <t>мкр. Горняцкий, д. 9</t>
  </si>
  <si>
    <t>мкр. Молодежный, д. 19</t>
  </si>
  <si>
    <t>мкр. Молодежный, д. 7</t>
  </si>
  <si>
    <t>мкр. 7, д. 1</t>
  </si>
  <si>
    <t>мкр. 7, д. 12</t>
  </si>
  <si>
    <t>мкр. 7, д. 16</t>
  </si>
  <si>
    <t>мкр. 7, д. 10</t>
  </si>
  <si>
    <t>мкр. 7, д. 11</t>
  </si>
  <si>
    <t>мкр. 7, д. 23</t>
  </si>
  <si>
    <t>мкр. 7, д. 24</t>
  </si>
  <si>
    <t>мкр. 7, д. 25</t>
  </si>
  <si>
    <t>мкр. 7, д. 36</t>
  </si>
  <si>
    <t>мкр. 7, д. 37</t>
  </si>
  <si>
    <t>мкр. 7, д. 39</t>
  </si>
  <si>
    <t>мкр. 7, д. 40</t>
  </si>
  <si>
    <t>мкр. 7, д. 41</t>
  </si>
  <si>
    <t>мкр. Журавлевка, д. 1</t>
  </si>
  <si>
    <t>мкр. Журавлевка, д. 2</t>
  </si>
  <si>
    <t>мкр. Журавлевка, д. 21</t>
  </si>
  <si>
    <t>мкр. Журавлевка, д. 23</t>
  </si>
  <si>
    <t>мкр. Журавлевка, д. 25</t>
  </si>
  <si>
    <t>мкр. Журавлевка, д. 26</t>
  </si>
  <si>
    <t>мкр. Журавлевка, д. 31</t>
  </si>
  <si>
    <t>мкр. Журавлевка, д. 32</t>
  </si>
  <si>
    <t>мкр. Журавлевка, д. 6</t>
  </si>
  <si>
    <t>мкр. Журавлевка, д. 7</t>
  </si>
  <si>
    <t>мкр. Журавлевка, д. 8</t>
  </si>
  <si>
    <t>ул. Ленина, д. 16</t>
  </si>
  <si>
    <t>ул. Ленина, д. 18</t>
  </si>
  <si>
    <t>ул. Ленина, д. 20</t>
  </si>
  <si>
    <t>ул. Ленина, д. 22</t>
  </si>
  <si>
    <t>ул. Ленина, д. 6</t>
  </si>
  <si>
    <t>ул. Ленина, д. 8</t>
  </si>
  <si>
    <t>ВСЕГО 2026 г.</t>
  </si>
  <si>
    <t>ул. Космонавтов, д. 11</t>
  </si>
  <si>
    <t>ул. Ленина, д. 57</t>
  </si>
  <si>
    <t>ул. Днепродзержинская, д. 9</t>
  </si>
  <si>
    <t>ул. Отважных, д. 23</t>
  </si>
  <si>
    <t>ул. Коммунистическая, д. 41</t>
  </si>
  <si>
    <t>ул. Вокзальная, д. 70</t>
  </si>
  <si>
    <t>ул. Маковского, д. 11</t>
  </si>
  <si>
    <t>ул. Магнитогорская, д. 8</t>
  </si>
  <si>
    <t>ул. Терешковой, д. 25</t>
  </si>
  <si>
    <t>ул. Гагарина, д. 36</t>
  </si>
  <si>
    <t>ул. Гагарина, д. 34</t>
  </si>
  <si>
    <t>ул. Кришталя, д. 42 а</t>
  </si>
  <si>
    <t>ул. Школьная, д. 4</t>
  </si>
  <si>
    <t>мкр. Молодежный, д. 10</t>
  </si>
  <si>
    <t>мкр. Молодежный, д. 11</t>
  </si>
  <si>
    <t>мкр. Горняцкий, д. 5</t>
  </si>
  <si>
    <t>ул. Давыденко, д. 188</t>
  </si>
  <si>
    <t>пер. Мира, д. 7</t>
  </si>
  <si>
    <t>ул. Кирова, д. 24</t>
  </si>
  <si>
    <t>ул. Армавирская, д. 15</t>
  </si>
  <si>
    <t>ул.Ленина, д. 5</t>
  </si>
  <si>
    <t>ул. Крупской, д. 38</t>
  </si>
  <si>
    <t>ул. Островского, д. 3/18</t>
  </si>
  <si>
    <t>ул. Краснофлотская, д. 100 б</t>
  </si>
  <si>
    <t>ул. Московская, д. 46</t>
  </si>
  <si>
    <t>мкр. Восточный, д. 38</t>
  </si>
  <si>
    <t>пр. Офицерский, д. 69 б</t>
  </si>
  <si>
    <t>ул. Петровского, д. 189</t>
  </si>
  <si>
    <t>ул. Кольцова, д. 15</t>
  </si>
  <si>
    <t>ул. Челюскинцев, д. 263</t>
  </si>
  <si>
    <t>ул. Ленина, д. 9</t>
  </si>
  <si>
    <t>ул. 50-летия СССР, д. 101</t>
  </si>
  <si>
    <t>мкр. 2, д. 6</t>
  </si>
  <si>
    <t>мкр. 2, д. 9</t>
  </si>
  <si>
    <t>ул. 301-й Донецкой дивизии, д. 6</t>
  </si>
  <si>
    <t>мкр. Магистральный, д. 4</t>
  </si>
  <si>
    <t>мкр. Центральный, д. 2</t>
  </si>
  <si>
    <t>мкр. Центральный, д. 3</t>
  </si>
  <si>
    <t>мкр. Центральный, д. 4</t>
  </si>
  <si>
    <t>мкр. Центральный, д. 5</t>
  </si>
  <si>
    <t>мкр. Октябрьский, д. 3</t>
  </si>
  <si>
    <t xml:space="preserve">мкр. Центральный, д. 6 </t>
  </si>
  <si>
    <t>ул. Глинки, д. 20</t>
  </si>
  <si>
    <t>ул. Карла Либкнехта, д. 7</t>
  </si>
  <si>
    <t>ул. Кронштадтская, д. 67</t>
  </si>
  <si>
    <t>ул. Кронштадтская, д. 69</t>
  </si>
  <si>
    <t>ул. Кронштадтская, д. 71</t>
  </si>
  <si>
    <t>ул. Ленина, д. 117</t>
  </si>
  <si>
    <t>бул. Горбачева, д. 7</t>
  </si>
  <si>
    <t>мкр. 30 лет Победы, д. 2</t>
  </si>
  <si>
    <t>мкр. 30 лет Победы, д. 24</t>
  </si>
  <si>
    <t>мкр. 30 лет Победы, д. 30</t>
  </si>
  <si>
    <t>мкр. 30 лет Победы, д. 31</t>
  </si>
  <si>
    <t>мкр. 1, д. 10</t>
  </si>
  <si>
    <t>мкр. 1, д. 13</t>
  </si>
  <si>
    <t>мкр. 1, д. 14</t>
  </si>
  <si>
    <t>мкр. 1, д. 8</t>
  </si>
  <si>
    <t>мкр. 2, д. 23</t>
  </si>
  <si>
    <t>мкр. 2, д. 25</t>
  </si>
  <si>
    <t>мкр. 2, д. 26</t>
  </si>
  <si>
    <t>мкр. 4, д. 20</t>
  </si>
  <si>
    <t>мкр. Металлургов, д. 20</t>
  </si>
  <si>
    <t>мкр. Металлургов, д. 50</t>
  </si>
  <si>
    <t>мкр. Юбилейный, д. 10</t>
  </si>
  <si>
    <t>ул. Школьная, д. 34</t>
  </si>
  <si>
    <t>мкр. Юбилейный, д. 9</t>
  </si>
  <si>
    <t>ул. 40 лет Освобождения Украины, д. 25</t>
  </si>
  <si>
    <t>ул. 40 лет Освобождения Украины, д. 53</t>
  </si>
  <si>
    <t>пер. Паторжинского, д. 1</t>
  </si>
  <si>
    <t>пер. Паторжинского, д. 2</t>
  </si>
  <si>
    <t>ул. Сергея Лазо, д. 15</t>
  </si>
  <si>
    <t>пер. Склярова, д. 2</t>
  </si>
  <si>
    <t>ул. Добровольского, д. 1</t>
  </si>
  <si>
    <t>ул. Краснозоринская, д. 92</t>
  </si>
  <si>
    <t>ул. Розы Люксембург, д. 5</t>
  </si>
  <si>
    <t>ул. Короленко, д. 39</t>
  </si>
  <si>
    <t>ул. Горького, д. 47</t>
  </si>
  <si>
    <t>ул. Горького, д. 53</t>
  </si>
  <si>
    <t>пр. Донецкий, д. 1</t>
  </si>
  <si>
    <t>ул. Почтовая, д. 7</t>
  </si>
  <si>
    <t>ул. Ленина, д. 3</t>
  </si>
  <si>
    <t>кв-л. Молодежный, д. 6</t>
  </si>
  <si>
    <t>кв-л. Молодежный, д. 7</t>
  </si>
  <si>
    <t>мкр. 3, д. 4</t>
  </si>
  <si>
    <t>мкр. 3, д. 5</t>
  </si>
  <si>
    <t>мкр. Центральный, д. 11</t>
  </si>
  <si>
    <t>мкр. Центральный, д. 24</t>
  </si>
  <si>
    <t>ул. Ленина, д. 21</t>
  </si>
  <si>
    <t>ул. Ленина, д. 23</t>
  </si>
  <si>
    <t>ул. Центральная, д. 55</t>
  </si>
  <si>
    <t>ул. Николаева, д. 5</t>
  </si>
  <si>
    <t>пл. Петровского, д. 1</t>
  </si>
  <si>
    <t>пр. Ленина, д. 4</t>
  </si>
  <si>
    <t>ул. Брайляна, д. 28</t>
  </si>
  <si>
    <t>мкр. Центральный, д. 7</t>
  </si>
  <si>
    <t>мкр. Центральный, д. 8</t>
  </si>
  <si>
    <t>мкр. Центральный, д. 9</t>
  </si>
  <si>
    <t>мкр. Магистральный, д. 5</t>
  </si>
  <si>
    <t>мкр. Первомайский, д. 6</t>
  </si>
  <si>
    <t>мкр. Строитель, д. 9</t>
  </si>
  <si>
    <t>мкр. Калининский, д. 8</t>
  </si>
  <si>
    <t>пер. Садовый, д. 2</t>
  </si>
  <si>
    <t>кв-л. 26/34, д. 8</t>
  </si>
  <si>
    <t>ул. Ленина, д. 1</t>
  </si>
  <si>
    <t>мкр. Горняцкий, д. 15</t>
  </si>
  <si>
    <t>мкр. Горняцкий, д. 4</t>
  </si>
  <si>
    <t>ул. Набережная, д. 117 а</t>
  </si>
  <si>
    <t>мкр. Металлургов, д. 1</t>
  </si>
  <si>
    <t>кв-л. 1, д. 6</t>
  </si>
  <si>
    <t>кв-л. 26/34, д. 11</t>
  </si>
  <si>
    <t>кв-л. 26/34, д. 14</t>
  </si>
  <si>
    <t>кв-л. 26/34, д. 9</t>
  </si>
  <si>
    <t>кв-л. 28/33, д. 3</t>
  </si>
  <si>
    <t>кв-л. 28/33, д. 31</t>
  </si>
  <si>
    <t>кв-л. 28/33, д. 5</t>
  </si>
  <si>
    <t>кв-л. 28/33, д. 7</t>
  </si>
  <si>
    <t>кв-л. 28/33, д. 9</t>
  </si>
  <si>
    <t>мкр. Горняцкий, д. 16</t>
  </si>
  <si>
    <t>мкр. Молодежный, д. 9 аб</t>
  </si>
  <si>
    <t>пл. Театральная, д. 4</t>
  </si>
  <si>
    <t>кв-л. 100, д. 1</t>
  </si>
  <si>
    <t>кв-л. 100, д. 2</t>
  </si>
  <si>
    <t>кв-л. 102, д. 5</t>
  </si>
  <si>
    <t>кв-л. 102, д. 8</t>
  </si>
  <si>
    <t>кв-л. 102, д. 10</t>
  </si>
  <si>
    <t>мкр. 2, д. 16</t>
  </si>
  <si>
    <t>мкр. Магистральный, д. 10</t>
  </si>
  <si>
    <t>ул. Школьная, д. 8</t>
  </si>
  <si>
    <t>ул. Бессонова, д. 29</t>
  </si>
  <si>
    <t>ул. Бессонова, д. 35</t>
  </si>
  <si>
    <t>ул. Бессонова, д. 46</t>
  </si>
  <si>
    <t>мкр. 4, д. 21</t>
  </si>
  <si>
    <t>728, 56</t>
  </si>
  <si>
    <t>кв-л. Квартал "Б", д. 1</t>
  </si>
  <si>
    <t>ул. Черняховского, д. 26</t>
  </si>
  <si>
    <t>ул. Чайковского, д. 6</t>
  </si>
  <si>
    <t>ул. 230-й Стрелковой Дивизии, д. 13</t>
  </si>
  <si>
    <t>ул. Черняховского, д. 3</t>
  </si>
  <si>
    <t>ул. Черняховского, д. 4</t>
  </si>
  <si>
    <t>ул. Матросова, д. 112</t>
  </si>
  <si>
    <t>мкр. 2, д. 44</t>
  </si>
  <si>
    <t>мкр. 7, д. 5</t>
  </si>
  <si>
    <t>ул. Краснофлотская, д. 100 а</t>
  </si>
  <si>
    <t>ул. Пограничная, д. 8 а</t>
  </si>
  <si>
    <t>мкр. Центральный, д. 1-1 а</t>
  </si>
  <si>
    <t>мкр. Солнечный, д. 16-16 а</t>
  </si>
  <si>
    <t>ул. Ленина д. 131 а</t>
  </si>
  <si>
    <t>мкр. Металлургов, д. 52 а</t>
  </si>
  <si>
    <t>ул. Заречная, д. 1 а</t>
  </si>
  <si>
    <t>ул. Патона, д. 28 а</t>
  </si>
  <si>
    <t>ул. Полупанова, д. 6</t>
  </si>
  <si>
    <t>ул. Почтовая, д. 2 а</t>
  </si>
  <si>
    <t>ул. Почтовая, д. 2 б</t>
  </si>
  <si>
    <t>ул. Почтовая, д. 2 в</t>
  </si>
  <si>
    <t>ул. Почтовая, д. 2 г</t>
  </si>
  <si>
    <t>ул. Почтовая, д. 4 б</t>
  </si>
  <si>
    <t>ул. Первомайская, д. 132 а</t>
  </si>
  <si>
    <t>кв-л 26/34, д. 7</t>
  </si>
  <si>
    <t>мкр. Журавлевка, д. 37 а</t>
  </si>
  <si>
    <t>ул. 60 лет Октября, д. 6 а</t>
  </si>
  <si>
    <t>ул. 60 лет Октября, д. 7 а</t>
  </si>
  <si>
    <t>пр. Тельмана, д. 9 а</t>
  </si>
  <si>
    <t>ул. Артема, д. 151 а</t>
  </si>
  <si>
    <t>ул. Коммунаров, д. 54 а</t>
  </si>
  <si>
    <t>мкр 2, д. 40</t>
  </si>
  <si>
    <t>ул. Ленина, д. 2 а</t>
  </si>
  <si>
    <t>ул. Коммунальная, д. 2 б</t>
  </si>
  <si>
    <t>рублей</t>
  </si>
  <si>
    <t>кв. м.</t>
  </si>
  <si>
    <t>Стоимость капитального ремонта,
всего</t>
  </si>
  <si>
    <t>РЕЕСТР</t>
  </si>
  <si>
    <t xml:space="preserve"> многоквартирных домов по видам капитального ремонта общего имущества</t>
  </si>
  <si>
    <t>2025 год</t>
  </si>
  <si>
    <t>2026 год</t>
  </si>
  <si>
    <t>Иные услуги при проведении капитального ремонта общего имущества в МКД</t>
  </si>
  <si>
    <t>Приложение 2                                                                                                              
к Региональной адресной программе капитального ремонта общего имущества в многоквартирных домах на территории Донецкой Народной Республики в 2024-2026 годах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</si>
</sst>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2" fillId="0" borderId="0"/>
  </cellStyleXfs>
  <cellXfs count="4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4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 applyProtection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4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" fontId="6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Финансовый" xfId="1" builtinId="3"/>
  </cellStyles>
  <dxfs count="0"/>
  <tableStyles count="0" defaultTableStyle="TableStyleMedium2" defaultPivotStyle="PivotStyleLight16"/>
  <colors>
    <mruColors>
      <color rgb="FFFF66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4"/>
  <sheetViews>
    <sheetView tabSelected="1" zoomScaleNormal="100" zoomScaleSheetLayoutView="75" workbookViewId="0">
      <selection activeCell="A2" sqref="A2:V2"/>
    </sheetView>
  </sheetViews>
  <sheetFormatPr defaultRowHeight="12.75" outlineLevelRow="1" x14ac:dyDescent="0.2"/>
  <cols>
    <col min="1" max="1" width="4.140625" style="35" customWidth="1"/>
    <col min="2" max="2" width="38.85546875" style="35" customWidth="1"/>
    <col min="3" max="3" width="10.140625" style="36" hidden="1" customWidth="1"/>
    <col min="4" max="5" width="17" style="37" customWidth="1"/>
    <col min="6" max="6" width="15.5703125" style="37" customWidth="1"/>
    <col min="7" max="7" width="14.5703125" style="37" customWidth="1"/>
    <col min="8" max="8" width="13" style="37" customWidth="1"/>
    <col min="9" max="9" width="9.28515625" style="37" customWidth="1"/>
    <col min="10" max="10" width="15.28515625" style="37" customWidth="1"/>
    <col min="11" max="11" width="15" style="37" customWidth="1"/>
    <col min="12" max="12" width="5.85546875" style="38" customWidth="1"/>
    <col min="13" max="13" width="15.140625" style="37" customWidth="1"/>
    <col min="14" max="14" width="12.28515625" style="37" customWidth="1"/>
    <col min="15" max="15" width="16.42578125" style="37" customWidth="1"/>
    <col min="16" max="16" width="10.140625" style="37" customWidth="1"/>
    <col min="17" max="17" width="15" style="37" customWidth="1"/>
    <col min="18" max="18" width="11.28515625" style="37" customWidth="1"/>
    <col min="19" max="19" width="16.42578125" style="37" customWidth="1"/>
    <col min="20" max="20" width="11.140625" style="37" customWidth="1"/>
    <col min="21" max="21" width="14.28515625" style="37" customWidth="1"/>
    <col min="22" max="22" width="14.85546875" style="37" customWidth="1"/>
    <col min="23" max="16384" width="9.140625" style="2"/>
  </cols>
  <sheetData>
    <row r="1" spans="1:22" ht="60.75" customHeight="1" x14ac:dyDescent="0.2">
      <c r="A1" s="6"/>
      <c r="B1" s="7"/>
      <c r="C1" s="8"/>
      <c r="D1" s="9"/>
      <c r="E1" s="8"/>
      <c r="F1" s="8"/>
      <c r="G1" s="9"/>
      <c r="H1" s="9"/>
      <c r="I1" s="9"/>
      <c r="J1" s="9"/>
      <c r="K1" s="9"/>
      <c r="L1" s="10"/>
      <c r="M1" s="9"/>
      <c r="N1" s="9"/>
      <c r="O1" s="9"/>
      <c r="P1" s="42" t="s">
        <v>479</v>
      </c>
      <c r="Q1" s="42"/>
      <c r="R1" s="42"/>
      <c r="S1" s="42"/>
      <c r="T1" s="42"/>
      <c r="U1" s="42"/>
      <c r="V1" s="42"/>
    </row>
    <row r="2" spans="1:22" x14ac:dyDescent="0.2">
      <c r="A2" s="40" t="s">
        <v>474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</row>
    <row r="3" spans="1:22" x14ac:dyDescent="0.2">
      <c r="A3" s="41" t="s">
        <v>475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</row>
    <row r="4" spans="1:22" ht="14.45" customHeight="1" x14ac:dyDescent="0.2">
      <c r="A4" s="44" t="s">
        <v>136</v>
      </c>
      <c r="B4" s="39" t="s">
        <v>0</v>
      </c>
      <c r="C4" s="11"/>
      <c r="D4" s="39" t="s">
        <v>473</v>
      </c>
      <c r="E4" s="12" t="s">
        <v>137</v>
      </c>
      <c r="F4" s="39" t="s">
        <v>137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x14ac:dyDescent="0.2">
      <c r="A5" s="45"/>
      <c r="B5" s="39"/>
      <c r="C5" s="11"/>
      <c r="D5" s="39"/>
      <c r="E5" s="39" t="s">
        <v>198</v>
      </c>
      <c r="F5" s="39" t="s">
        <v>138</v>
      </c>
      <c r="G5" s="39"/>
      <c r="H5" s="39"/>
      <c r="I5" s="39"/>
      <c r="J5" s="39"/>
      <c r="K5" s="39"/>
      <c r="L5" s="39" t="s">
        <v>139</v>
      </c>
      <c r="M5" s="39"/>
      <c r="N5" s="39" t="s">
        <v>140</v>
      </c>
      <c r="O5" s="39"/>
      <c r="P5" s="39" t="s">
        <v>141</v>
      </c>
      <c r="Q5" s="39"/>
      <c r="R5" s="39" t="s">
        <v>142</v>
      </c>
      <c r="S5" s="39"/>
      <c r="T5" s="39" t="s">
        <v>143</v>
      </c>
      <c r="U5" s="39"/>
      <c r="V5" s="39" t="s">
        <v>478</v>
      </c>
    </row>
    <row r="6" spans="1:22" ht="58.5" customHeight="1" x14ac:dyDescent="0.2">
      <c r="A6" s="45"/>
      <c r="B6" s="39"/>
      <c r="C6" s="11"/>
      <c r="D6" s="39"/>
      <c r="E6" s="39"/>
      <c r="F6" s="12" t="s">
        <v>144</v>
      </c>
      <c r="G6" s="12" t="s">
        <v>145</v>
      </c>
      <c r="H6" s="12" t="s">
        <v>146</v>
      </c>
      <c r="I6" s="12" t="s">
        <v>147</v>
      </c>
      <c r="J6" s="12" t="s">
        <v>148</v>
      </c>
      <c r="K6" s="12" t="s">
        <v>149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</row>
    <row r="7" spans="1:22" x14ac:dyDescent="0.2">
      <c r="A7" s="46"/>
      <c r="B7" s="39"/>
      <c r="C7" s="11"/>
      <c r="D7" s="12" t="s">
        <v>471</v>
      </c>
      <c r="E7" s="12" t="s">
        <v>471</v>
      </c>
      <c r="F7" s="12" t="s">
        <v>471</v>
      </c>
      <c r="G7" s="12" t="s">
        <v>471</v>
      </c>
      <c r="H7" s="12" t="s">
        <v>471</v>
      </c>
      <c r="I7" s="12" t="s">
        <v>471</v>
      </c>
      <c r="J7" s="12" t="s">
        <v>471</v>
      </c>
      <c r="K7" s="12" t="s">
        <v>471</v>
      </c>
      <c r="L7" s="13" t="s">
        <v>150</v>
      </c>
      <c r="M7" s="12" t="s">
        <v>471</v>
      </c>
      <c r="N7" s="12" t="s">
        <v>472</v>
      </c>
      <c r="O7" s="12" t="s">
        <v>471</v>
      </c>
      <c r="P7" s="12" t="s">
        <v>472</v>
      </c>
      <c r="Q7" s="12" t="s">
        <v>471</v>
      </c>
      <c r="R7" s="12" t="s">
        <v>472</v>
      </c>
      <c r="S7" s="12" t="s">
        <v>471</v>
      </c>
      <c r="T7" s="12" t="s">
        <v>472</v>
      </c>
      <c r="U7" s="12" t="s">
        <v>471</v>
      </c>
      <c r="V7" s="12" t="s">
        <v>471</v>
      </c>
    </row>
    <row r="8" spans="1:22" x14ac:dyDescent="0.2">
      <c r="A8" s="14">
        <v>1</v>
      </c>
      <c r="B8" s="14">
        <v>2</v>
      </c>
      <c r="C8" s="15"/>
      <c r="D8" s="14">
        <v>3</v>
      </c>
      <c r="E8" s="14">
        <v>4</v>
      </c>
      <c r="F8" s="14">
        <v>5</v>
      </c>
      <c r="G8" s="14">
        <v>6</v>
      </c>
      <c r="H8" s="14">
        <v>7</v>
      </c>
      <c r="I8" s="14">
        <v>8</v>
      </c>
      <c r="J8" s="14">
        <v>9</v>
      </c>
      <c r="K8" s="14">
        <v>10</v>
      </c>
      <c r="L8" s="16">
        <v>11</v>
      </c>
      <c r="M8" s="14">
        <v>12</v>
      </c>
      <c r="N8" s="14">
        <v>13</v>
      </c>
      <c r="O8" s="14">
        <v>14</v>
      </c>
      <c r="P8" s="14">
        <v>15</v>
      </c>
      <c r="Q8" s="14">
        <v>16</v>
      </c>
      <c r="R8" s="14">
        <v>17</v>
      </c>
      <c r="S8" s="14">
        <v>18</v>
      </c>
      <c r="T8" s="14">
        <v>19</v>
      </c>
      <c r="U8" s="14">
        <v>20</v>
      </c>
      <c r="V8" s="14">
        <v>21</v>
      </c>
    </row>
    <row r="9" spans="1:22" ht="12.75" customHeight="1" x14ac:dyDescent="0.2">
      <c r="A9" s="43" t="s">
        <v>151</v>
      </c>
      <c r="B9" s="43"/>
      <c r="C9" s="17"/>
      <c r="D9" s="17">
        <f t="shared" ref="D9:V9" si="0">D285+D373+D512</f>
        <v>8619439771.710001</v>
      </c>
      <c r="E9" s="17">
        <f t="shared" si="0"/>
        <v>8619439771.7099991</v>
      </c>
      <c r="F9" s="17">
        <f>F285+F373+F512</f>
        <v>303657121.84000003</v>
      </c>
      <c r="G9" s="17">
        <f t="shared" si="0"/>
        <v>609567863</v>
      </c>
      <c r="H9" s="17">
        <f t="shared" si="0"/>
        <v>0</v>
      </c>
      <c r="I9" s="17">
        <f t="shared" si="0"/>
        <v>0</v>
      </c>
      <c r="J9" s="17">
        <f t="shared" si="0"/>
        <v>544427237.80999994</v>
      </c>
      <c r="K9" s="17">
        <f t="shared" si="0"/>
        <v>412783248.64999998</v>
      </c>
      <c r="L9" s="18">
        <f t="shared" si="0"/>
        <v>49</v>
      </c>
      <c r="M9" s="17">
        <f t="shared" si="0"/>
        <v>230852501.34999999</v>
      </c>
      <c r="N9" s="17">
        <f t="shared" si="0"/>
        <v>305850.14</v>
      </c>
      <c r="O9" s="17">
        <f t="shared" si="0"/>
        <v>3181507689.1500006</v>
      </c>
      <c r="P9" s="17">
        <f t="shared" si="0"/>
        <v>21928.450000000004</v>
      </c>
      <c r="Q9" s="17">
        <f t="shared" si="0"/>
        <v>258520693.79000002</v>
      </c>
      <c r="R9" s="17">
        <f t="shared" si="0"/>
        <v>554836.2699999999</v>
      </c>
      <c r="S9" s="17">
        <f t="shared" si="0"/>
        <v>2316934352.02</v>
      </c>
      <c r="T9" s="17">
        <f t="shared" si="0"/>
        <v>8477.7000000000007</v>
      </c>
      <c r="U9" s="17">
        <f t="shared" si="0"/>
        <v>82766998.200000003</v>
      </c>
      <c r="V9" s="17">
        <f t="shared" si="0"/>
        <v>678422065.89999998</v>
      </c>
    </row>
    <row r="10" spans="1:22" ht="12.75" customHeight="1" x14ac:dyDescent="0.2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2" ht="16.5" customHeight="1" x14ac:dyDescent="0.2">
      <c r="A11" s="19" t="s">
        <v>9</v>
      </c>
      <c r="B11" s="20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7"/>
      <c r="N11" s="17"/>
      <c r="O11" s="17"/>
      <c r="P11" s="17"/>
      <c r="Q11" s="17"/>
      <c r="R11" s="17"/>
      <c r="S11" s="17"/>
      <c r="T11" s="17"/>
      <c r="U11" s="17"/>
      <c r="V11" s="17"/>
    </row>
    <row r="12" spans="1:22" ht="12.75" customHeight="1" x14ac:dyDescent="0.2">
      <c r="A12" s="12">
        <v>1</v>
      </c>
      <c r="B12" s="21" t="s">
        <v>432</v>
      </c>
      <c r="C12" s="11">
        <v>3687.42</v>
      </c>
      <c r="D12" s="11">
        <f>F12+G12+H12+I12+J12+K12+M12+O12+Q12+S12+U12+V12</f>
        <v>2194554</v>
      </c>
      <c r="E12" s="11">
        <f>D12</f>
        <v>2194554</v>
      </c>
      <c r="F12" s="15"/>
      <c r="G12" s="15"/>
      <c r="H12" s="15"/>
      <c r="I12" s="15"/>
      <c r="J12" s="15"/>
      <c r="K12" s="15"/>
      <c r="L12" s="16"/>
      <c r="M12" s="15"/>
      <c r="N12" s="15">
        <v>515.9</v>
      </c>
      <c r="O12" s="15">
        <v>2094554</v>
      </c>
      <c r="P12" s="15"/>
      <c r="Q12" s="15"/>
      <c r="R12" s="15"/>
      <c r="S12" s="15"/>
      <c r="T12" s="15"/>
      <c r="U12" s="15"/>
      <c r="V12" s="15">
        <v>100000</v>
      </c>
    </row>
    <row r="13" spans="1:22" ht="12.75" customHeight="1" x14ac:dyDescent="0.2">
      <c r="A13" s="12">
        <v>2</v>
      </c>
      <c r="B13" s="21" t="s">
        <v>433</v>
      </c>
      <c r="C13" s="11">
        <v>3686.82</v>
      </c>
      <c r="D13" s="11">
        <f t="shared" ref="D13:D16" si="1">F13+G13+H13+I13+J13+K13+M13+O13+Q13+S13+U13+V13</f>
        <v>2153304.4000000004</v>
      </c>
      <c r="E13" s="11">
        <f>D13</f>
        <v>2153304.4000000004</v>
      </c>
      <c r="F13" s="15"/>
      <c r="G13" s="15"/>
      <c r="H13" s="15"/>
      <c r="I13" s="15"/>
      <c r="J13" s="15"/>
      <c r="K13" s="15"/>
      <c r="L13" s="16"/>
      <c r="M13" s="15"/>
      <c r="N13" s="15">
        <v>505.74</v>
      </c>
      <c r="O13" s="15">
        <v>2053304.4000000001</v>
      </c>
      <c r="P13" s="15"/>
      <c r="Q13" s="15"/>
      <c r="R13" s="15"/>
      <c r="S13" s="15"/>
      <c r="T13" s="15"/>
      <c r="U13" s="15"/>
      <c r="V13" s="15">
        <v>100000</v>
      </c>
    </row>
    <row r="14" spans="1:22" ht="12.75" customHeight="1" x14ac:dyDescent="0.2">
      <c r="A14" s="12">
        <v>3</v>
      </c>
      <c r="B14" s="21" t="s">
        <v>434</v>
      </c>
      <c r="C14" s="11">
        <v>4187.09</v>
      </c>
      <c r="D14" s="11">
        <f t="shared" si="1"/>
        <v>1890460</v>
      </c>
      <c r="E14" s="11">
        <f>D14</f>
        <v>1890460</v>
      </c>
      <c r="F14" s="15"/>
      <c r="G14" s="15"/>
      <c r="H14" s="15"/>
      <c r="I14" s="15"/>
      <c r="J14" s="15"/>
      <c r="K14" s="15"/>
      <c r="L14" s="16"/>
      <c r="M14" s="15"/>
      <c r="N14" s="15">
        <v>441</v>
      </c>
      <c r="O14" s="15">
        <v>1790460</v>
      </c>
      <c r="P14" s="15"/>
      <c r="Q14" s="15"/>
      <c r="R14" s="15"/>
      <c r="S14" s="15"/>
      <c r="T14" s="15"/>
      <c r="U14" s="15"/>
      <c r="V14" s="15">
        <v>100000</v>
      </c>
    </row>
    <row r="15" spans="1:22" ht="12.75" customHeight="1" x14ac:dyDescent="0.2">
      <c r="A15" s="12">
        <v>4</v>
      </c>
      <c r="B15" s="22" t="s">
        <v>69</v>
      </c>
      <c r="C15" s="15">
        <v>6043.5</v>
      </c>
      <c r="D15" s="11">
        <f t="shared" si="1"/>
        <v>3731955.6</v>
      </c>
      <c r="E15" s="11">
        <f>D15</f>
        <v>3731955.6</v>
      </c>
      <c r="F15" s="15"/>
      <c r="G15" s="15"/>
      <c r="H15" s="15"/>
      <c r="I15" s="15"/>
      <c r="J15" s="15"/>
      <c r="K15" s="15"/>
      <c r="L15" s="16"/>
      <c r="M15" s="15"/>
      <c r="N15" s="15"/>
      <c r="O15" s="15"/>
      <c r="P15" s="15"/>
      <c r="Q15" s="15"/>
      <c r="R15" s="15">
        <v>497</v>
      </c>
      <c r="S15" s="15">
        <v>3331955.6</v>
      </c>
      <c r="T15" s="15"/>
      <c r="U15" s="15"/>
      <c r="V15" s="15">
        <v>400000</v>
      </c>
    </row>
    <row r="16" spans="1:22" ht="12.75" customHeight="1" x14ac:dyDescent="0.2">
      <c r="A16" s="12">
        <v>5</v>
      </c>
      <c r="B16" s="21" t="s">
        <v>70</v>
      </c>
      <c r="C16" s="11">
        <v>705.05</v>
      </c>
      <c r="D16" s="11">
        <f t="shared" si="1"/>
        <v>1675000</v>
      </c>
      <c r="E16" s="11">
        <f>D16</f>
        <v>1675000</v>
      </c>
      <c r="F16" s="15"/>
      <c r="G16" s="15"/>
      <c r="H16" s="15"/>
      <c r="I16" s="15"/>
      <c r="J16" s="15"/>
      <c r="K16" s="15"/>
      <c r="L16" s="16"/>
      <c r="M16" s="15"/>
      <c r="N16" s="23"/>
      <c r="O16" s="15"/>
      <c r="P16" s="15"/>
      <c r="Q16" s="15"/>
      <c r="R16" s="15">
        <v>259</v>
      </c>
      <c r="S16" s="15">
        <v>1500000</v>
      </c>
      <c r="T16" s="15"/>
      <c r="U16" s="15"/>
      <c r="V16" s="15">
        <v>175000</v>
      </c>
    </row>
    <row r="17" spans="1:22" ht="12.75" customHeight="1" x14ac:dyDescent="0.2">
      <c r="A17" s="19" t="s">
        <v>10</v>
      </c>
      <c r="B17" s="19"/>
      <c r="C17" s="17"/>
      <c r="D17" s="19"/>
      <c r="E17" s="19"/>
      <c r="F17" s="19"/>
      <c r="G17" s="19"/>
      <c r="H17" s="19"/>
      <c r="I17" s="19"/>
      <c r="J17" s="19"/>
      <c r="K17" s="19"/>
      <c r="L17" s="19"/>
      <c r="M17" s="24"/>
      <c r="N17" s="24"/>
      <c r="O17" s="24"/>
      <c r="P17" s="17"/>
      <c r="Q17" s="17"/>
      <c r="R17" s="17"/>
      <c r="S17" s="17"/>
      <c r="T17" s="17"/>
      <c r="U17" s="17"/>
      <c r="V17" s="15"/>
    </row>
    <row r="18" spans="1:22" ht="12.75" customHeight="1" x14ac:dyDescent="0.2">
      <c r="A18" s="12">
        <v>6</v>
      </c>
      <c r="B18" s="21" t="s">
        <v>329</v>
      </c>
      <c r="C18" s="11">
        <v>3763.23</v>
      </c>
      <c r="D18" s="11">
        <f t="shared" ref="D18:D21" si="2">F18+G18+H18+I18+J18+K18+M18+O18+Q18+S18+U18+V18</f>
        <v>19999912</v>
      </c>
      <c r="E18" s="11">
        <f>D18</f>
        <v>19999912</v>
      </c>
      <c r="F18" s="11"/>
      <c r="G18" s="11"/>
      <c r="H18" s="11"/>
      <c r="I18" s="11"/>
      <c r="J18" s="11">
        <v>1000000</v>
      </c>
      <c r="K18" s="11">
        <v>1000000</v>
      </c>
      <c r="L18" s="13"/>
      <c r="M18" s="11"/>
      <c r="N18" s="11">
        <v>1196</v>
      </c>
      <c r="O18" s="11">
        <v>16256800</v>
      </c>
      <c r="P18" s="11"/>
      <c r="Q18" s="11"/>
      <c r="R18" s="11"/>
      <c r="S18" s="11"/>
      <c r="T18" s="11"/>
      <c r="U18" s="11"/>
      <c r="V18" s="15">
        <v>1743112</v>
      </c>
    </row>
    <row r="19" spans="1:22" ht="12.75" customHeight="1" x14ac:dyDescent="0.2">
      <c r="A19" s="12">
        <v>7</v>
      </c>
      <c r="B19" s="21" t="s">
        <v>304</v>
      </c>
      <c r="C19" s="11">
        <v>1328.3</v>
      </c>
      <c r="D19" s="11">
        <f t="shared" si="2"/>
        <v>19999912</v>
      </c>
      <c r="E19" s="11">
        <f>D19</f>
        <v>19999912</v>
      </c>
      <c r="F19" s="11"/>
      <c r="G19" s="11">
        <v>2000000</v>
      </c>
      <c r="H19" s="11"/>
      <c r="I19" s="11"/>
      <c r="J19" s="11">
        <v>2000000</v>
      </c>
      <c r="K19" s="11">
        <v>2000000</v>
      </c>
      <c r="L19" s="13"/>
      <c r="M19" s="11"/>
      <c r="N19" s="11">
        <v>670</v>
      </c>
      <c r="O19" s="11">
        <f>6500000-285000-172245</f>
        <v>6042755</v>
      </c>
      <c r="P19" s="11"/>
      <c r="Q19" s="11"/>
      <c r="R19" s="11">
        <v>1512</v>
      </c>
      <c r="S19" s="11">
        <f>5256800+500000+285000</f>
        <v>6041800</v>
      </c>
      <c r="T19" s="11"/>
      <c r="U19" s="11"/>
      <c r="V19" s="15">
        <v>1915357</v>
      </c>
    </row>
    <row r="20" spans="1:22" ht="12.75" customHeight="1" x14ac:dyDescent="0.2">
      <c r="A20" s="12">
        <v>8</v>
      </c>
      <c r="B20" s="21" t="s">
        <v>16</v>
      </c>
      <c r="C20" s="11">
        <v>2811.4</v>
      </c>
      <c r="D20" s="11">
        <f t="shared" si="2"/>
        <v>57837082</v>
      </c>
      <c r="E20" s="11">
        <f>D20</f>
        <v>57837082</v>
      </c>
      <c r="F20" s="11">
        <v>3000000</v>
      </c>
      <c r="G20" s="11">
        <v>4000000</v>
      </c>
      <c r="H20" s="11"/>
      <c r="I20" s="11"/>
      <c r="J20" s="11">
        <v>3000000</v>
      </c>
      <c r="K20" s="11">
        <v>3000000</v>
      </c>
      <c r="L20" s="13"/>
      <c r="M20" s="11"/>
      <c r="N20" s="11">
        <v>989</v>
      </c>
      <c r="O20" s="11">
        <f>15000000-500000-1710270</f>
        <v>12789730</v>
      </c>
      <c r="P20" s="11">
        <v>690</v>
      </c>
      <c r="Q20" s="11">
        <f>12000000+181000+500000</f>
        <v>12681000</v>
      </c>
      <c r="R20" s="11">
        <v>2565</v>
      </c>
      <c r="S20" s="11">
        <f>24969800-12000000-181000-97000</f>
        <v>12691800</v>
      </c>
      <c r="T20" s="11">
        <v>250</v>
      </c>
      <c r="U20" s="11">
        <v>1710270</v>
      </c>
      <c r="V20" s="15">
        <v>4964282</v>
      </c>
    </row>
    <row r="21" spans="1:22" ht="12.75" customHeight="1" x14ac:dyDescent="0.2">
      <c r="A21" s="12">
        <v>9</v>
      </c>
      <c r="B21" s="21" t="s">
        <v>15</v>
      </c>
      <c r="C21" s="11">
        <v>1847.7</v>
      </c>
      <c r="D21" s="11">
        <f t="shared" si="2"/>
        <v>33345000</v>
      </c>
      <c r="E21" s="11">
        <f>D21</f>
        <v>33345000</v>
      </c>
      <c r="F21" s="11">
        <v>2000000</v>
      </c>
      <c r="G21" s="11">
        <v>2000000</v>
      </c>
      <c r="H21" s="11"/>
      <c r="I21" s="11"/>
      <c r="J21" s="11">
        <v>2000000</v>
      </c>
      <c r="K21" s="11">
        <v>2000000</v>
      </c>
      <c r="L21" s="13"/>
      <c r="M21" s="11"/>
      <c r="N21" s="11">
        <v>510</v>
      </c>
      <c r="O21" s="11">
        <v>8400000</v>
      </c>
      <c r="P21" s="11"/>
      <c r="Q21" s="11"/>
      <c r="R21" s="11">
        <v>1575</v>
      </c>
      <c r="S21" s="11">
        <f>15000000-900000-5695000-56000</f>
        <v>8349000</v>
      </c>
      <c r="T21" s="11">
        <v>200</v>
      </c>
      <c r="U21" s="11">
        <v>5695000</v>
      </c>
      <c r="V21" s="15">
        <v>2901000</v>
      </c>
    </row>
    <row r="22" spans="1:22" s="3" customFormat="1" ht="12.75" customHeight="1" x14ac:dyDescent="0.25">
      <c r="A22" s="19" t="s">
        <v>11</v>
      </c>
      <c r="B22" s="20"/>
      <c r="C22" s="17"/>
      <c r="D22" s="11"/>
      <c r="E22" s="11"/>
      <c r="F22" s="17"/>
      <c r="G22" s="17"/>
      <c r="H22" s="17"/>
      <c r="I22" s="17"/>
      <c r="J22" s="17"/>
      <c r="K22" s="17"/>
      <c r="L22" s="18"/>
      <c r="M22" s="17"/>
      <c r="N22" s="17"/>
      <c r="O22" s="17"/>
      <c r="P22" s="17"/>
      <c r="Q22" s="17"/>
      <c r="R22" s="17"/>
      <c r="S22" s="17"/>
      <c r="T22" s="17"/>
      <c r="U22" s="17"/>
      <c r="V22" s="15"/>
    </row>
    <row r="23" spans="1:22" s="3" customFormat="1" ht="12.75" customHeight="1" x14ac:dyDescent="0.25">
      <c r="A23" s="12">
        <v>10</v>
      </c>
      <c r="B23" s="21" t="s">
        <v>439</v>
      </c>
      <c r="C23" s="11">
        <v>1443</v>
      </c>
      <c r="D23" s="11">
        <f>F23+G23+H23+I23+J23+K23+M23+O23+Q23+S23+U23+V23</f>
        <v>3735625</v>
      </c>
      <c r="E23" s="11">
        <f>D23</f>
        <v>3735625</v>
      </c>
      <c r="F23" s="11"/>
      <c r="G23" s="11"/>
      <c r="H23" s="11"/>
      <c r="I23" s="11"/>
      <c r="J23" s="11"/>
      <c r="K23" s="11"/>
      <c r="L23" s="11"/>
      <c r="M23" s="11"/>
      <c r="N23" s="11">
        <v>514</v>
      </c>
      <c r="O23" s="15">
        <f>3415436-80000</f>
        <v>3335436</v>
      </c>
      <c r="P23" s="11"/>
      <c r="Q23" s="11"/>
      <c r="R23" s="11"/>
      <c r="S23" s="11"/>
      <c r="T23" s="11"/>
      <c r="U23" s="11"/>
      <c r="V23" s="15">
        <v>400189</v>
      </c>
    </row>
    <row r="24" spans="1:22" ht="12.75" customHeight="1" x14ac:dyDescent="0.2">
      <c r="A24" s="19" t="s">
        <v>12</v>
      </c>
      <c r="B24" s="20"/>
      <c r="C24" s="17"/>
      <c r="D24" s="11"/>
      <c r="E24" s="11"/>
      <c r="F24" s="17"/>
      <c r="G24" s="17"/>
      <c r="H24" s="17"/>
      <c r="I24" s="17"/>
      <c r="J24" s="17"/>
      <c r="K24" s="17"/>
      <c r="L24" s="18"/>
      <c r="M24" s="17"/>
      <c r="N24" s="17"/>
      <c r="O24" s="17"/>
      <c r="P24" s="17"/>
      <c r="Q24" s="17"/>
      <c r="R24" s="17"/>
      <c r="S24" s="17"/>
      <c r="T24" s="17"/>
      <c r="U24" s="17"/>
      <c r="V24" s="15"/>
    </row>
    <row r="25" spans="1:22" ht="12.75" customHeight="1" x14ac:dyDescent="0.2">
      <c r="A25" s="12">
        <v>11</v>
      </c>
      <c r="B25" s="21" t="s">
        <v>160</v>
      </c>
      <c r="C25" s="11">
        <v>5903.9</v>
      </c>
      <c r="D25" s="11">
        <f t="shared" ref="D25:D47" si="3">F25+G25+H25+I25+J25+K25+M25+O25+Q25+S25+U25+V25</f>
        <v>15000000</v>
      </c>
      <c r="E25" s="11">
        <f>D25</f>
        <v>15000000</v>
      </c>
      <c r="F25" s="15"/>
      <c r="G25" s="15"/>
      <c r="H25" s="15"/>
      <c r="I25" s="15"/>
      <c r="J25" s="15"/>
      <c r="K25" s="15"/>
      <c r="L25" s="16">
        <v>3</v>
      </c>
      <c r="M25" s="15">
        <v>14250000</v>
      </c>
      <c r="N25" s="15"/>
      <c r="O25" s="15"/>
      <c r="P25" s="15"/>
      <c r="Q25" s="15"/>
      <c r="R25" s="15"/>
      <c r="S25" s="15"/>
      <c r="T25" s="15"/>
      <c r="U25" s="15"/>
      <c r="V25" s="15">
        <v>750000</v>
      </c>
    </row>
    <row r="26" spans="1:22" ht="12.75" customHeight="1" x14ac:dyDescent="0.2">
      <c r="A26" s="12">
        <v>12</v>
      </c>
      <c r="B26" s="21" t="s">
        <v>165</v>
      </c>
      <c r="C26" s="11">
        <v>8202.4599999999991</v>
      </c>
      <c r="D26" s="11">
        <f t="shared" si="3"/>
        <v>4387000</v>
      </c>
      <c r="E26" s="11">
        <f t="shared" ref="E26:E46" si="4">D26</f>
        <v>4387000</v>
      </c>
      <c r="F26" s="15"/>
      <c r="G26" s="15">
        <v>4027000</v>
      </c>
      <c r="H26" s="15"/>
      <c r="I26" s="15"/>
      <c r="J26" s="15"/>
      <c r="K26" s="15"/>
      <c r="L26" s="16"/>
      <c r="M26" s="15"/>
      <c r="N26" s="15"/>
      <c r="O26" s="15"/>
      <c r="P26" s="15"/>
      <c r="Q26" s="15"/>
      <c r="R26" s="15"/>
      <c r="S26" s="15"/>
      <c r="T26" s="15"/>
      <c r="U26" s="15"/>
      <c r="V26" s="15">
        <v>360000</v>
      </c>
    </row>
    <row r="27" spans="1:22" ht="12.75" customHeight="1" x14ac:dyDescent="0.2">
      <c r="A27" s="12">
        <v>13</v>
      </c>
      <c r="B27" s="21" t="s">
        <v>330</v>
      </c>
      <c r="C27" s="11">
        <v>9274.7000000000007</v>
      </c>
      <c r="D27" s="11">
        <f t="shared" si="3"/>
        <v>24700000</v>
      </c>
      <c r="E27" s="11">
        <f t="shared" si="4"/>
        <v>24700000</v>
      </c>
      <c r="F27" s="15"/>
      <c r="G27" s="15">
        <v>6500000</v>
      </c>
      <c r="H27" s="15"/>
      <c r="I27" s="15"/>
      <c r="J27" s="15">
        <v>2800000</v>
      </c>
      <c r="K27" s="15">
        <v>2000000</v>
      </c>
      <c r="L27" s="16"/>
      <c r="M27" s="15"/>
      <c r="N27" s="15">
        <v>1357</v>
      </c>
      <c r="O27" s="15">
        <v>10987000</v>
      </c>
      <c r="P27" s="15"/>
      <c r="Q27" s="15"/>
      <c r="R27" s="15"/>
      <c r="S27" s="15"/>
      <c r="T27" s="15"/>
      <c r="U27" s="15"/>
      <c r="V27" s="15">
        <v>2413000</v>
      </c>
    </row>
    <row r="28" spans="1:22" ht="12.75" customHeight="1" x14ac:dyDescent="0.2">
      <c r="A28" s="12">
        <v>14</v>
      </c>
      <c r="B28" s="21" t="s">
        <v>71</v>
      </c>
      <c r="C28" s="11">
        <v>3802.33</v>
      </c>
      <c r="D28" s="11">
        <f t="shared" si="3"/>
        <v>38207405</v>
      </c>
      <c r="E28" s="11">
        <f t="shared" si="4"/>
        <v>38207405</v>
      </c>
      <c r="F28" s="15"/>
      <c r="G28" s="15">
        <v>4000000</v>
      </c>
      <c r="H28" s="15"/>
      <c r="I28" s="15"/>
      <c r="J28" s="15">
        <v>4500000</v>
      </c>
      <c r="K28" s="15">
        <v>3538800</v>
      </c>
      <c r="L28" s="16"/>
      <c r="M28" s="15"/>
      <c r="N28" s="15">
        <v>700</v>
      </c>
      <c r="O28" s="15">
        <v>13134500</v>
      </c>
      <c r="P28" s="15"/>
      <c r="Q28" s="15"/>
      <c r="R28" s="15">
        <v>750</v>
      </c>
      <c r="S28" s="15">
        <f>10600000-245000</f>
        <v>10355000</v>
      </c>
      <c r="T28" s="15"/>
      <c r="U28" s="15"/>
      <c r="V28" s="15">
        <v>2679105</v>
      </c>
    </row>
    <row r="29" spans="1:22" ht="12.75" customHeight="1" x14ac:dyDescent="0.2">
      <c r="A29" s="12">
        <v>15</v>
      </c>
      <c r="B29" s="21" t="s">
        <v>440</v>
      </c>
      <c r="C29" s="11">
        <v>14141.73</v>
      </c>
      <c r="D29" s="11">
        <f t="shared" si="3"/>
        <v>15000000</v>
      </c>
      <c r="E29" s="11">
        <f t="shared" si="4"/>
        <v>15000000</v>
      </c>
      <c r="F29" s="15"/>
      <c r="G29" s="15"/>
      <c r="H29" s="15"/>
      <c r="I29" s="15"/>
      <c r="J29" s="15"/>
      <c r="K29" s="15"/>
      <c r="L29" s="16">
        <v>3</v>
      </c>
      <c r="M29" s="15">
        <v>14250000</v>
      </c>
      <c r="N29" s="15"/>
      <c r="O29" s="15"/>
      <c r="P29" s="15"/>
      <c r="Q29" s="15"/>
      <c r="R29" s="15"/>
      <c r="S29" s="15"/>
      <c r="T29" s="15"/>
      <c r="U29" s="15"/>
      <c r="V29" s="15">
        <v>750000</v>
      </c>
    </row>
    <row r="30" spans="1:22" ht="12.75" customHeight="1" x14ac:dyDescent="0.2">
      <c r="A30" s="12">
        <v>16</v>
      </c>
      <c r="B30" s="21" t="s">
        <v>335</v>
      </c>
      <c r="C30" s="11">
        <v>6252.8</v>
      </c>
      <c r="D30" s="11">
        <f t="shared" si="3"/>
        <v>47420000</v>
      </c>
      <c r="E30" s="11">
        <f t="shared" si="4"/>
        <v>47420000</v>
      </c>
      <c r="F30" s="15">
        <v>4161000</v>
      </c>
      <c r="G30" s="15">
        <v>8000000</v>
      </c>
      <c r="H30" s="15"/>
      <c r="I30" s="15"/>
      <c r="J30" s="15">
        <v>4500000</v>
      </c>
      <c r="K30" s="15">
        <v>3600000</v>
      </c>
      <c r="L30" s="16"/>
      <c r="M30" s="15"/>
      <c r="N30" s="15">
        <v>1400</v>
      </c>
      <c r="O30" s="15">
        <f>23000000-47000</f>
        <v>22953000</v>
      </c>
      <c r="P30" s="15"/>
      <c r="Q30" s="15"/>
      <c r="R30" s="15"/>
      <c r="S30" s="15"/>
      <c r="T30" s="15"/>
      <c r="U30" s="15"/>
      <c r="V30" s="15">
        <v>4206000</v>
      </c>
    </row>
    <row r="31" spans="1:22" ht="12.75" customHeight="1" x14ac:dyDescent="0.2">
      <c r="A31" s="12">
        <v>17</v>
      </c>
      <c r="B31" s="21" t="s">
        <v>332</v>
      </c>
      <c r="C31" s="11">
        <v>12275.95</v>
      </c>
      <c r="D31" s="11">
        <f t="shared" si="3"/>
        <v>22243252</v>
      </c>
      <c r="E31" s="11">
        <f t="shared" si="4"/>
        <v>22243252</v>
      </c>
      <c r="F31" s="15">
        <v>5000000</v>
      </c>
      <c r="G31" s="15">
        <v>10000000</v>
      </c>
      <c r="H31" s="15"/>
      <c r="I31" s="15"/>
      <c r="J31" s="15">
        <v>3500000</v>
      </c>
      <c r="K31" s="15">
        <v>1573252</v>
      </c>
      <c r="L31" s="16"/>
      <c r="M31" s="15"/>
      <c r="N31" s="15"/>
      <c r="O31" s="15"/>
      <c r="P31" s="15"/>
      <c r="Q31" s="15"/>
      <c r="R31" s="15"/>
      <c r="S31" s="15"/>
      <c r="T31" s="15"/>
      <c r="U31" s="15"/>
      <c r="V31" s="15">
        <v>2170000</v>
      </c>
    </row>
    <row r="32" spans="1:22" ht="12.75" customHeight="1" x14ac:dyDescent="0.2">
      <c r="A32" s="12">
        <v>18</v>
      </c>
      <c r="B32" s="21" t="s">
        <v>134</v>
      </c>
      <c r="C32" s="11">
        <v>6485.4</v>
      </c>
      <c r="D32" s="11">
        <f t="shared" si="3"/>
        <v>24080000</v>
      </c>
      <c r="E32" s="11">
        <f t="shared" si="4"/>
        <v>24080000</v>
      </c>
      <c r="F32" s="15"/>
      <c r="G32" s="15">
        <v>3000000</v>
      </c>
      <c r="H32" s="15"/>
      <c r="I32" s="15"/>
      <c r="J32" s="15">
        <v>2000000</v>
      </c>
      <c r="K32" s="15"/>
      <c r="L32" s="16"/>
      <c r="M32" s="15"/>
      <c r="N32" s="15">
        <v>942.1</v>
      </c>
      <c r="O32" s="15">
        <v>11000000</v>
      </c>
      <c r="P32" s="15"/>
      <c r="Q32" s="15"/>
      <c r="R32" s="15">
        <v>1500</v>
      </c>
      <c r="S32" s="15">
        <f>6000000-41000</f>
        <v>5959000</v>
      </c>
      <c r="T32" s="15"/>
      <c r="U32" s="15"/>
      <c r="V32" s="15">
        <v>2121000</v>
      </c>
    </row>
    <row r="33" spans="1:22" ht="12.75" customHeight="1" x14ac:dyDescent="0.2">
      <c r="A33" s="12">
        <v>19</v>
      </c>
      <c r="B33" s="21" t="s">
        <v>183</v>
      </c>
      <c r="C33" s="11">
        <v>1995.1</v>
      </c>
      <c r="D33" s="11">
        <f t="shared" si="3"/>
        <v>34442000</v>
      </c>
      <c r="E33" s="11">
        <f t="shared" si="4"/>
        <v>34442000</v>
      </c>
      <c r="F33" s="15">
        <v>5000000</v>
      </c>
      <c r="G33" s="15">
        <v>5500000</v>
      </c>
      <c r="H33" s="15"/>
      <c r="I33" s="15"/>
      <c r="J33" s="15">
        <v>3724000</v>
      </c>
      <c r="K33" s="15">
        <v>2500000</v>
      </c>
      <c r="L33" s="16"/>
      <c r="M33" s="15"/>
      <c r="N33" s="15">
        <v>497</v>
      </c>
      <c r="O33" s="15">
        <f>19000000-1500000-1200000-7224000</f>
        <v>9076000</v>
      </c>
      <c r="P33" s="15"/>
      <c r="Q33" s="15"/>
      <c r="R33" s="15">
        <v>1000</v>
      </c>
      <c r="S33" s="15">
        <v>5000000</v>
      </c>
      <c r="T33" s="15"/>
      <c r="U33" s="15"/>
      <c r="V33" s="15">
        <v>3642000</v>
      </c>
    </row>
    <row r="34" spans="1:22" ht="12.75" customHeight="1" x14ac:dyDescent="0.2">
      <c r="A34" s="12">
        <v>20</v>
      </c>
      <c r="B34" s="21" t="s">
        <v>166</v>
      </c>
      <c r="C34" s="11">
        <v>9228.51</v>
      </c>
      <c r="D34" s="11">
        <f t="shared" si="3"/>
        <v>25664043</v>
      </c>
      <c r="E34" s="11">
        <f t="shared" si="4"/>
        <v>25664043</v>
      </c>
      <c r="F34" s="15"/>
      <c r="G34" s="15">
        <f>4800000-40000</f>
        <v>4760000</v>
      </c>
      <c r="H34" s="15"/>
      <c r="I34" s="15"/>
      <c r="J34" s="15">
        <v>3500000</v>
      </c>
      <c r="K34" s="15">
        <v>2000000</v>
      </c>
      <c r="L34" s="16"/>
      <c r="M34" s="15"/>
      <c r="N34" s="15">
        <v>1357</v>
      </c>
      <c r="O34" s="15">
        <f>13193250-44000</f>
        <v>13149250</v>
      </c>
      <c r="P34" s="15"/>
      <c r="Q34" s="15"/>
      <c r="R34" s="15"/>
      <c r="S34" s="15"/>
      <c r="T34" s="15"/>
      <c r="U34" s="15"/>
      <c r="V34" s="15">
        <v>2254793</v>
      </c>
    </row>
    <row r="35" spans="1:22" ht="12.75" customHeight="1" x14ac:dyDescent="0.2">
      <c r="A35" s="12">
        <v>21</v>
      </c>
      <c r="B35" s="21" t="s">
        <v>446</v>
      </c>
      <c r="C35" s="11">
        <v>6718.4</v>
      </c>
      <c r="D35" s="11">
        <f t="shared" si="3"/>
        <v>35321000</v>
      </c>
      <c r="E35" s="11">
        <f t="shared" si="4"/>
        <v>35321000</v>
      </c>
      <c r="F35" s="15">
        <v>5000000</v>
      </c>
      <c r="G35" s="15">
        <v>5500000</v>
      </c>
      <c r="H35" s="15"/>
      <c r="I35" s="15"/>
      <c r="J35" s="15">
        <v>4500000</v>
      </c>
      <c r="K35" s="15">
        <v>2000000</v>
      </c>
      <c r="L35" s="16"/>
      <c r="M35" s="15"/>
      <c r="N35" s="15">
        <v>1001</v>
      </c>
      <c r="O35" s="15">
        <v>15161000</v>
      </c>
      <c r="P35" s="15"/>
      <c r="Q35" s="15"/>
      <c r="R35" s="15"/>
      <c r="S35" s="15"/>
      <c r="T35" s="15"/>
      <c r="U35" s="15"/>
      <c r="V35" s="15">
        <v>3160000</v>
      </c>
    </row>
    <row r="36" spans="1:22" ht="12.75" customHeight="1" x14ac:dyDescent="0.2">
      <c r="A36" s="12">
        <v>22</v>
      </c>
      <c r="B36" s="21" t="s">
        <v>163</v>
      </c>
      <c r="C36" s="11">
        <v>7576.2</v>
      </c>
      <c r="D36" s="11">
        <f t="shared" si="3"/>
        <v>10000000</v>
      </c>
      <c r="E36" s="11">
        <f t="shared" si="4"/>
        <v>10000000</v>
      </c>
      <c r="F36" s="15"/>
      <c r="G36" s="15"/>
      <c r="H36" s="15"/>
      <c r="I36" s="15"/>
      <c r="J36" s="15"/>
      <c r="K36" s="15"/>
      <c r="L36" s="16">
        <v>2</v>
      </c>
      <c r="M36" s="15">
        <v>9500000</v>
      </c>
      <c r="N36" s="15"/>
      <c r="O36" s="15"/>
      <c r="P36" s="15"/>
      <c r="Q36" s="15"/>
      <c r="R36" s="15"/>
      <c r="S36" s="15"/>
      <c r="T36" s="15"/>
      <c r="U36" s="15"/>
      <c r="V36" s="15">
        <v>500000</v>
      </c>
    </row>
    <row r="37" spans="1:22" ht="12.75" customHeight="1" x14ac:dyDescent="0.2">
      <c r="A37" s="12">
        <v>23</v>
      </c>
      <c r="B37" s="21" t="s">
        <v>17</v>
      </c>
      <c r="C37" s="11">
        <v>7523.2</v>
      </c>
      <c r="D37" s="11">
        <f t="shared" si="3"/>
        <v>13108060</v>
      </c>
      <c r="E37" s="11">
        <f t="shared" si="4"/>
        <v>13108060</v>
      </c>
      <c r="F37" s="15"/>
      <c r="G37" s="15"/>
      <c r="H37" s="15"/>
      <c r="I37" s="15"/>
      <c r="J37" s="15"/>
      <c r="K37" s="15"/>
      <c r="L37" s="16"/>
      <c r="M37" s="15"/>
      <c r="N37" s="15">
        <v>722.8</v>
      </c>
      <c r="O37" s="15">
        <v>11934000</v>
      </c>
      <c r="P37" s="15"/>
      <c r="Q37" s="15"/>
      <c r="R37" s="15"/>
      <c r="S37" s="15"/>
      <c r="T37" s="15"/>
      <c r="U37" s="15"/>
      <c r="V37" s="15">
        <v>1174060</v>
      </c>
    </row>
    <row r="38" spans="1:22" ht="12.75" customHeight="1" x14ac:dyDescent="0.2">
      <c r="A38" s="12">
        <v>24</v>
      </c>
      <c r="B38" s="21" t="s">
        <v>159</v>
      </c>
      <c r="C38" s="11">
        <v>7179.7</v>
      </c>
      <c r="D38" s="11">
        <f t="shared" si="3"/>
        <v>15000000</v>
      </c>
      <c r="E38" s="11">
        <f t="shared" si="4"/>
        <v>15000000</v>
      </c>
      <c r="F38" s="15"/>
      <c r="G38" s="15"/>
      <c r="H38" s="15"/>
      <c r="I38" s="15"/>
      <c r="J38" s="15"/>
      <c r="K38" s="15"/>
      <c r="L38" s="16">
        <v>3</v>
      </c>
      <c r="M38" s="15">
        <v>14250000</v>
      </c>
      <c r="N38" s="15"/>
      <c r="O38" s="15"/>
      <c r="P38" s="15"/>
      <c r="Q38" s="15"/>
      <c r="R38" s="15"/>
      <c r="S38" s="15"/>
      <c r="T38" s="15"/>
      <c r="U38" s="15"/>
      <c r="V38" s="15">
        <v>750000</v>
      </c>
    </row>
    <row r="39" spans="1:22" ht="12.75" customHeight="1" x14ac:dyDescent="0.2">
      <c r="A39" s="12">
        <v>25</v>
      </c>
      <c r="B39" s="21" t="s">
        <v>307</v>
      </c>
      <c r="C39" s="11">
        <v>3377.06</v>
      </c>
      <c r="D39" s="11">
        <f t="shared" si="3"/>
        <v>16709386</v>
      </c>
      <c r="E39" s="11">
        <f t="shared" si="4"/>
        <v>16709386</v>
      </c>
      <c r="F39" s="15"/>
      <c r="G39" s="15">
        <v>5000000</v>
      </c>
      <c r="H39" s="15"/>
      <c r="I39" s="15"/>
      <c r="J39" s="15">
        <v>3000000</v>
      </c>
      <c r="K39" s="15">
        <v>1989386</v>
      </c>
      <c r="L39" s="16"/>
      <c r="M39" s="15"/>
      <c r="N39" s="15"/>
      <c r="O39" s="15"/>
      <c r="P39" s="15"/>
      <c r="Q39" s="15"/>
      <c r="R39" s="15">
        <v>1200</v>
      </c>
      <c r="S39" s="15">
        <v>5000000</v>
      </c>
      <c r="T39" s="15"/>
      <c r="U39" s="15"/>
      <c r="V39" s="15">
        <v>1720000</v>
      </c>
    </row>
    <row r="40" spans="1:22" ht="12.75" customHeight="1" x14ac:dyDescent="0.2">
      <c r="A40" s="12">
        <v>26</v>
      </c>
      <c r="B40" s="21" t="s">
        <v>73</v>
      </c>
      <c r="C40" s="11">
        <v>4345.13</v>
      </c>
      <c r="D40" s="11">
        <f t="shared" si="3"/>
        <v>21791000</v>
      </c>
      <c r="E40" s="11">
        <f t="shared" si="4"/>
        <v>21791000</v>
      </c>
      <c r="F40" s="15"/>
      <c r="G40" s="15">
        <v>5500000</v>
      </c>
      <c r="H40" s="15"/>
      <c r="I40" s="15"/>
      <c r="J40" s="15">
        <v>2400000</v>
      </c>
      <c r="K40" s="15">
        <v>2000000</v>
      </c>
      <c r="L40" s="16"/>
      <c r="M40" s="15"/>
      <c r="N40" s="15">
        <v>740</v>
      </c>
      <c r="O40" s="15">
        <f>10000000-40000</f>
        <v>9960000</v>
      </c>
      <c r="P40" s="15"/>
      <c r="Q40" s="15"/>
      <c r="R40" s="15"/>
      <c r="S40" s="15"/>
      <c r="T40" s="15"/>
      <c r="U40" s="15"/>
      <c r="V40" s="15">
        <v>1931000</v>
      </c>
    </row>
    <row r="41" spans="1:22" ht="12.75" customHeight="1" x14ac:dyDescent="0.2">
      <c r="A41" s="12">
        <v>27</v>
      </c>
      <c r="B41" s="21" t="s">
        <v>331</v>
      </c>
      <c r="C41" s="11">
        <v>6488.3</v>
      </c>
      <c r="D41" s="11">
        <f t="shared" si="3"/>
        <v>11769232</v>
      </c>
      <c r="E41" s="11">
        <f t="shared" si="4"/>
        <v>11769232</v>
      </c>
      <c r="F41" s="15"/>
      <c r="G41" s="15">
        <v>6000000</v>
      </c>
      <c r="H41" s="15"/>
      <c r="I41" s="15"/>
      <c r="J41" s="15">
        <v>2500000</v>
      </c>
      <c r="K41" s="15">
        <v>1919232</v>
      </c>
      <c r="L41" s="16"/>
      <c r="M41" s="15"/>
      <c r="N41" s="15"/>
      <c r="O41" s="15"/>
      <c r="P41" s="15"/>
      <c r="Q41" s="15"/>
      <c r="R41" s="15"/>
      <c r="S41" s="15"/>
      <c r="T41" s="15"/>
      <c r="U41" s="15"/>
      <c r="V41" s="15">
        <v>1350000</v>
      </c>
    </row>
    <row r="42" spans="1:22" ht="12.75" customHeight="1" x14ac:dyDescent="0.2">
      <c r="A42" s="12">
        <v>28</v>
      </c>
      <c r="B42" s="21" t="s">
        <v>161</v>
      </c>
      <c r="C42" s="11">
        <v>4296.67</v>
      </c>
      <c r="D42" s="11">
        <f t="shared" si="3"/>
        <v>31217000</v>
      </c>
      <c r="E42" s="11">
        <f t="shared" si="4"/>
        <v>31217000</v>
      </c>
      <c r="F42" s="15"/>
      <c r="G42" s="15">
        <v>8800000</v>
      </c>
      <c r="H42" s="15"/>
      <c r="I42" s="15"/>
      <c r="J42" s="15">
        <v>4000000</v>
      </c>
      <c r="K42" s="15">
        <v>3500000</v>
      </c>
      <c r="L42" s="16"/>
      <c r="M42" s="15"/>
      <c r="N42" s="15">
        <v>741</v>
      </c>
      <c r="O42" s="15">
        <v>12000000</v>
      </c>
      <c r="P42" s="15"/>
      <c r="Q42" s="15"/>
      <c r="R42" s="15"/>
      <c r="S42" s="15"/>
      <c r="T42" s="15"/>
      <c r="U42" s="15"/>
      <c r="V42" s="15">
        <v>2917000</v>
      </c>
    </row>
    <row r="43" spans="1:22" ht="12.75" customHeight="1" x14ac:dyDescent="0.2">
      <c r="A43" s="12">
        <v>29</v>
      </c>
      <c r="B43" s="21" t="s">
        <v>162</v>
      </c>
      <c r="C43" s="11">
        <v>14576</v>
      </c>
      <c r="D43" s="11">
        <f t="shared" si="3"/>
        <v>20674000</v>
      </c>
      <c r="E43" s="11">
        <f t="shared" si="4"/>
        <v>20674000</v>
      </c>
      <c r="F43" s="15"/>
      <c r="G43" s="15"/>
      <c r="H43" s="15"/>
      <c r="I43" s="15"/>
      <c r="J43" s="15"/>
      <c r="K43" s="15"/>
      <c r="L43" s="16"/>
      <c r="M43" s="15"/>
      <c r="N43" s="15">
        <v>2107</v>
      </c>
      <c r="O43" s="15">
        <v>18774000</v>
      </c>
      <c r="P43" s="15"/>
      <c r="Q43" s="15"/>
      <c r="R43" s="15"/>
      <c r="S43" s="15"/>
      <c r="T43" s="15"/>
      <c r="U43" s="15"/>
      <c r="V43" s="15">
        <v>1900000</v>
      </c>
    </row>
    <row r="44" spans="1:22" ht="12.75" customHeight="1" x14ac:dyDescent="0.2">
      <c r="A44" s="12">
        <v>30</v>
      </c>
      <c r="B44" s="21" t="s">
        <v>72</v>
      </c>
      <c r="C44" s="11">
        <v>9312.1</v>
      </c>
      <c r="D44" s="11">
        <f t="shared" si="3"/>
        <v>25116420</v>
      </c>
      <c r="E44" s="11">
        <f t="shared" si="4"/>
        <v>25116420</v>
      </c>
      <c r="F44" s="15"/>
      <c r="G44" s="15"/>
      <c r="H44" s="15"/>
      <c r="I44" s="15"/>
      <c r="J44" s="15"/>
      <c r="K44" s="15"/>
      <c r="L44" s="16"/>
      <c r="M44" s="15"/>
      <c r="N44" s="15">
        <v>1373</v>
      </c>
      <c r="O44" s="15">
        <v>22799000</v>
      </c>
      <c r="P44" s="15"/>
      <c r="Q44" s="15"/>
      <c r="R44" s="15"/>
      <c r="S44" s="15"/>
      <c r="T44" s="15"/>
      <c r="U44" s="15"/>
      <c r="V44" s="15">
        <v>2317420</v>
      </c>
    </row>
    <row r="45" spans="1:22" ht="12.75" customHeight="1" x14ac:dyDescent="0.2">
      <c r="A45" s="12">
        <v>31</v>
      </c>
      <c r="B45" s="21" t="s">
        <v>135</v>
      </c>
      <c r="C45" s="11">
        <v>2152.1999999999998</v>
      </c>
      <c r="D45" s="11">
        <f t="shared" si="3"/>
        <v>15872000</v>
      </c>
      <c r="E45" s="11">
        <f t="shared" si="4"/>
        <v>15872000</v>
      </c>
      <c r="F45" s="15"/>
      <c r="G45" s="15"/>
      <c r="H45" s="15"/>
      <c r="I45" s="15"/>
      <c r="J45" s="15"/>
      <c r="K45" s="15"/>
      <c r="L45" s="16"/>
      <c r="M45" s="15"/>
      <c r="N45" s="15">
        <v>876</v>
      </c>
      <c r="O45" s="15">
        <f>9790000-100000</f>
        <v>9690000</v>
      </c>
      <c r="P45" s="15"/>
      <c r="Q45" s="15"/>
      <c r="R45" s="15"/>
      <c r="S45" s="15"/>
      <c r="T45" s="15">
        <v>250</v>
      </c>
      <c r="U45" s="15">
        <v>5010000</v>
      </c>
      <c r="V45" s="15">
        <v>1172000</v>
      </c>
    </row>
    <row r="46" spans="1:22" ht="12.75" customHeight="1" x14ac:dyDescent="0.2">
      <c r="A46" s="12">
        <v>32</v>
      </c>
      <c r="B46" s="21" t="s">
        <v>13</v>
      </c>
      <c r="C46" s="11">
        <v>4032.7</v>
      </c>
      <c r="D46" s="11">
        <f t="shared" si="3"/>
        <v>13943000</v>
      </c>
      <c r="E46" s="11">
        <f t="shared" si="4"/>
        <v>13943000</v>
      </c>
      <c r="F46" s="15"/>
      <c r="G46" s="15">
        <v>3700000</v>
      </c>
      <c r="H46" s="15"/>
      <c r="I46" s="15"/>
      <c r="J46" s="15">
        <v>2000000</v>
      </c>
      <c r="K46" s="15"/>
      <c r="L46" s="16"/>
      <c r="M46" s="15"/>
      <c r="N46" s="15">
        <v>623</v>
      </c>
      <c r="O46" s="15">
        <v>7000000</v>
      </c>
      <c r="P46" s="15"/>
      <c r="Q46" s="15"/>
      <c r="R46" s="15"/>
      <c r="S46" s="15"/>
      <c r="T46" s="15"/>
      <c r="U46" s="15"/>
      <c r="V46" s="15">
        <v>1243000</v>
      </c>
    </row>
    <row r="47" spans="1:22" ht="12.75" customHeight="1" x14ac:dyDescent="0.2">
      <c r="A47" s="12">
        <v>33</v>
      </c>
      <c r="B47" s="21" t="s">
        <v>333</v>
      </c>
      <c r="C47" s="11">
        <v>13885.4</v>
      </c>
      <c r="D47" s="11">
        <f t="shared" si="3"/>
        <v>25187390</v>
      </c>
      <c r="E47" s="11">
        <f>D47</f>
        <v>25187390</v>
      </c>
      <c r="F47" s="15">
        <v>5000000</v>
      </c>
      <c r="G47" s="15">
        <v>11000000</v>
      </c>
      <c r="H47" s="15"/>
      <c r="I47" s="15"/>
      <c r="J47" s="15">
        <v>5000000</v>
      </c>
      <c r="K47" s="15">
        <v>2012390</v>
      </c>
      <c r="L47" s="16"/>
      <c r="M47" s="15"/>
      <c r="N47" s="15"/>
      <c r="O47" s="15"/>
      <c r="P47" s="15"/>
      <c r="Q47" s="15"/>
      <c r="R47" s="15"/>
      <c r="S47" s="15"/>
      <c r="T47" s="15"/>
      <c r="U47" s="15"/>
      <c r="V47" s="15">
        <v>2175000</v>
      </c>
    </row>
    <row r="48" spans="1:22" ht="12.75" customHeight="1" x14ac:dyDescent="0.2">
      <c r="A48" s="19" t="s">
        <v>18</v>
      </c>
      <c r="B48" s="20"/>
      <c r="C48" s="17"/>
      <c r="D48" s="11"/>
      <c r="E48" s="11"/>
      <c r="F48" s="17"/>
      <c r="G48" s="17"/>
      <c r="H48" s="17"/>
      <c r="I48" s="17"/>
      <c r="J48" s="17"/>
      <c r="K48" s="17"/>
      <c r="L48" s="18"/>
      <c r="M48" s="17"/>
      <c r="N48" s="17"/>
      <c r="O48" s="17"/>
      <c r="P48" s="17"/>
      <c r="Q48" s="17"/>
      <c r="R48" s="17"/>
      <c r="S48" s="17"/>
      <c r="T48" s="17"/>
      <c r="U48" s="17"/>
      <c r="V48" s="15"/>
    </row>
    <row r="49" spans="1:22" ht="12.75" customHeight="1" x14ac:dyDescent="0.2">
      <c r="A49" s="12">
        <v>34</v>
      </c>
      <c r="B49" s="21" t="s">
        <v>77</v>
      </c>
      <c r="C49" s="11">
        <v>5532.4</v>
      </c>
      <c r="D49" s="11">
        <f t="shared" ref="D49:D57" si="5">F49+G49+H49+I49+J49+K49+M49+O49+Q49+S49+U49+V49</f>
        <v>26966563</v>
      </c>
      <c r="E49" s="11">
        <f>D49</f>
        <v>26966563</v>
      </c>
      <c r="F49" s="11"/>
      <c r="G49" s="11"/>
      <c r="H49" s="11"/>
      <c r="I49" s="11"/>
      <c r="J49" s="11">
        <v>1417500</v>
      </c>
      <c r="K49" s="11"/>
      <c r="L49" s="13">
        <v>2</v>
      </c>
      <c r="M49" s="15">
        <v>9500000</v>
      </c>
      <c r="N49" s="15">
        <v>910</v>
      </c>
      <c r="O49" s="15">
        <v>14066178</v>
      </c>
      <c r="P49" s="11"/>
      <c r="Q49" s="15"/>
      <c r="R49" s="15"/>
      <c r="S49" s="15"/>
      <c r="T49" s="15"/>
      <c r="U49" s="15"/>
      <c r="V49" s="15">
        <v>1982885</v>
      </c>
    </row>
    <row r="50" spans="1:22" ht="12.75" customHeight="1" x14ac:dyDescent="0.2">
      <c r="A50" s="12">
        <v>35</v>
      </c>
      <c r="B50" s="21" t="s">
        <v>76</v>
      </c>
      <c r="C50" s="11">
        <v>6305.3</v>
      </c>
      <c r="D50" s="11">
        <f t="shared" si="5"/>
        <v>28640665</v>
      </c>
      <c r="E50" s="11">
        <f t="shared" ref="E50:E57" si="6">D50</f>
        <v>28640665</v>
      </c>
      <c r="F50" s="11"/>
      <c r="G50" s="11">
        <v>7202880</v>
      </c>
      <c r="H50" s="11"/>
      <c r="I50" s="11"/>
      <c r="J50" s="11">
        <v>2352300</v>
      </c>
      <c r="K50" s="11"/>
      <c r="L50" s="13"/>
      <c r="M50" s="15"/>
      <c r="N50" s="15">
        <v>1300</v>
      </c>
      <c r="O50" s="15">
        <v>17094040</v>
      </c>
      <c r="P50" s="11"/>
      <c r="Q50" s="15"/>
      <c r="R50" s="15"/>
      <c r="S50" s="15"/>
      <c r="T50" s="15"/>
      <c r="U50" s="15"/>
      <c r="V50" s="15">
        <v>1991445</v>
      </c>
    </row>
    <row r="51" spans="1:22" ht="12.75" customHeight="1" x14ac:dyDescent="0.2">
      <c r="A51" s="12">
        <v>36</v>
      </c>
      <c r="B51" s="21" t="s">
        <v>308</v>
      </c>
      <c r="C51" s="11">
        <v>6471.04</v>
      </c>
      <c r="D51" s="11">
        <f t="shared" si="5"/>
        <v>26216088</v>
      </c>
      <c r="E51" s="11">
        <f t="shared" si="6"/>
        <v>26216088</v>
      </c>
      <c r="F51" s="11"/>
      <c r="G51" s="11"/>
      <c r="H51" s="11"/>
      <c r="I51" s="11"/>
      <c r="J51" s="11"/>
      <c r="K51" s="11"/>
      <c r="L51" s="13">
        <v>2</v>
      </c>
      <c r="M51" s="15">
        <v>9500000</v>
      </c>
      <c r="N51" s="15">
        <v>983</v>
      </c>
      <c r="O51" s="15">
        <v>15207842</v>
      </c>
      <c r="P51" s="11"/>
      <c r="Q51" s="15"/>
      <c r="R51" s="15"/>
      <c r="S51" s="15"/>
      <c r="T51" s="15"/>
      <c r="U51" s="15"/>
      <c r="V51" s="15">
        <v>1508246</v>
      </c>
    </row>
    <row r="52" spans="1:22" ht="12.75" customHeight="1" x14ac:dyDescent="0.2">
      <c r="A52" s="12">
        <v>37</v>
      </c>
      <c r="B52" s="21" t="s">
        <v>21</v>
      </c>
      <c r="C52" s="11">
        <v>6460.12</v>
      </c>
      <c r="D52" s="11">
        <f t="shared" si="5"/>
        <v>31263513</v>
      </c>
      <c r="E52" s="11">
        <f t="shared" si="6"/>
        <v>31263513</v>
      </c>
      <c r="F52" s="11"/>
      <c r="G52" s="11"/>
      <c r="H52" s="11"/>
      <c r="I52" s="11"/>
      <c r="J52" s="11"/>
      <c r="K52" s="11"/>
      <c r="L52" s="13">
        <v>3</v>
      </c>
      <c r="M52" s="15">
        <v>14250000</v>
      </c>
      <c r="N52" s="15">
        <v>941</v>
      </c>
      <c r="O52" s="15">
        <v>14453750</v>
      </c>
      <c r="P52" s="11"/>
      <c r="Q52" s="15"/>
      <c r="R52" s="15"/>
      <c r="S52" s="15"/>
      <c r="T52" s="15"/>
      <c r="U52" s="15"/>
      <c r="V52" s="15">
        <v>2559763</v>
      </c>
    </row>
    <row r="53" spans="1:22" ht="12.75" customHeight="1" x14ac:dyDescent="0.2">
      <c r="A53" s="12">
        <v>38</v>
      </c>
      <c r="B53" s="21" t="s">
        <v>447</v>
      </c>
      <c r="C53" s="11">
        <v>503.12</v>
      </c>
      <c r="D53" s="11">
        <f t="shared" si="5"/>
        <v>4206799</v>
      </c>
      <c r="E53" s="11">
        <f t="shared" si="6"/>
        <v>4206799</v>
      </c>
      <c r="F53" s="11"/>
      <c r="G53" s="11"/>
      <c r="H53" s="11"/>
      <c r="I53" s="11"/>
      <c r="J53" s="11"/>
      <c r="K53" s="11"/>
      <c r="L53" s="13"/>
      <c r="M53" s="15"/>
      <c r="N53" s="15">
        <v>336</v>
      </c>
      <c r="O53" s="15">
        <f>2288813.63-50000</f>
        <v>2238813.63</v>
      </c>
      <c r="P53" s="11"/>
      <c r="Q53" s="15"/>
      <c r="R53" s="15"/>
      <c r="S53" s="15"/>
      <c r="T53" s="15">
        <v>200</v>
      </c>
      <c r="U53" s="15">
        <f>1642774.37-50000</f>
        <v>1592774.37</v>
      </c>
      <c r="V53" s="15">
        <v>375211</v>
      </c>
    </row>
    <row r="54" spans="1:22" ht="12.75" customHeight="1" x14ac:dyDescent="0.2">
      <c r="A54" s="12">
        <v>39</v>
      </c>
      <c r="B54" s="21" t="s">
        <v>78</v>
      </c>
      <c r="C54" s="11">
        <v>2743.28</v>
      </c>
      <c r="D54" s="11">
        <f t="shared" si="5"/>
        <v>6115440</v>
      </c>
      <c r="E54" s="11">
        <f t="shared" si="6"/>
        <v>6115440</v>
      </c>
      <c r="F54" s="11"/>
      <c r="G54" s="11">
        <v>5192000</v>
      </c>
      <c r="H54" s="11"/>
      <c r="I54" s="11"/>
      <c r="J54" s="11"/>
      <c r="K54" s="11"/>
      <c r="L54" s="16"/>
      <c r="M54" s="15"/>
      <c r="N54" s="15"/>
      <c r="O54" s="15"/>
      <c r="P54" s="11"/>
      <c r="Q54" s="15"/>
      <c r="R54" s="15"/>
      <c r="S54" s="15"/>
      <c r="T54" s="15"/>
      <c r="U54" s="15"/>
      <c r="V54" s="15">
        <v>923440</v>
      </c>
    </row>
    <row r="55" spans="1:22" ht="12.75" customHeight="1" x14ac:dyDescent="0.2">
      <c r="A55" s="12">
        <v>40</v>
      </c>
      <c r="B55" s="21" t="s">
        <v>20</v>
      </c>
      <c r="C55" s="11">
        <v>2764.7</v>
      </c>
      <c r="D55" s="11">
        <f t="shared" si="5"/>
        <v>25130787</v>
      </c>
      <c r="E55" s="11">
        <f t="shared" si="6"/>
        <v>25130787</v>
      </c>
      <c r="F55" s="11"/>
      <c r="G55" s="11"/>
      <c r="H55" s="11"/>
      <c r="I55" s="11"/>
      <c r="J55" s="11">
        <v>6000000</v>
      </c>
      <c r="K55" s="11">
        <v>4909433.17</v>
      </c>
      <c r="L55" s="13"/>
      <c r="M55" s="15"/>
      <c r="N55" s="15">
        <v>702</v>
      </c>
      <c r="O55" s="15">
        <v>12577283.83</v>
      </c>
      <c r="P55" s="11"/>
      <c r="Q55" s="15"/>
      <c r="R55" s="15"/>
      <c r="S55" s="15"/>
      <c r="T55" s="15"/>
      <c r="U55" s="15"/>
      <c r="V55" s="15">
        <v>1644070</v>
      </c>
    </row>
    <row r="56" spans="1:22" ht="12.75" customHeight="1" x14ac:dyDescent="0.2">
      <c r="A56" s="12">
        <v>41</v>
      </c>
      <c r="B56" s="21" t="s">
        <v>79</v>
      </c>
      <c r="C56" s="11">
        <v>8051.64</v>
      </c>
      <c r="D56" s="11">
        <f t="shared" si="5"/>
        <v>9180846</v>
      </c>
      <c r="E56" s="11">
        <f t="shared" si="6"/>
        <v>9180846</v>
      </c>
      <c r="F56" s="11"/>
      <c r="G56" s="11">
        <v>8580230</v>
      </c>
      <c r="H56" s="11"/>
      <c r="I56" s="11"/>
      <c r="J56" s="11"/>
      <c r="K56" s="11"/>
      <c r="L56" s="13"/>
      <c r="M56" s="15"/>
      <c r="N56" s="15"/>
      <c r="O56" s="15"/>
      <c r="P56" s="11"/>
      <c r="Q56" s="15"/>
      <c r="R56" s="15"/>
      <c r="S56" s="15"/>
      <c r="T56" s="15"/>
      <c r="U56" s="15"/>
      <c r="V56" s="15">
        <v>600616</v>
      </c>
    </row>
    <row r="57" spans="1:22" ht="12.75" customHeight="1" x14ac:dyDescent="0.2">
      <c r="A57" s="12">
        <v>42</v>
      </c>
      <c r="B57" s="21" t="s">
        <v>80</v>
      </c>
      <c r="C57" s="11">
        <v>5951.08</v>
      </c>
      <c r="D57" s="11">
        <f t="shared" si="5"/>
        <v>7043393</v>
      </c>
      <c r="E57" s="11">
        <f t="shared" si="6"/>
        <v>7043393</v>
      </c>
      <c r="F57" s="11"/>
      <c r="G57" s="11">
        <v>6582610</v>
      </c>
      <c r="H57" s="11"/>
      <c r="I57" s="11"/>
      <c r="J57" s="11"/>
      <c r="K57" s="11"/>
      <c r="L57" s="13"/>
      <c r="M57" s="15"/>
      <c r="N57" s="15"/>
      <c r="O57" s="15"/>
      <c r="P57" s="11"/>
      <c r="Q57" s="15"/>
      <c r="R57" s="15"/>
      <c r="S57" s="15"/>
      <c r="T57" s="15"/>
      <c r="U57" s="15"/>
      <c r="V57" s="15">
        <v>460783</v>
      </c>
    </row>
    <row r="58" spans="1:22" s="1" customFormat="1" ht="12.75" customHeight="1" x14ac:dyDescent="0.25">
      <c r="A58" s="19" t="s">
        <v>74</v>
      </c>
      <c r="B58" s="20"/>
      <c r="C58" s="17"/>
      <c r="D58" s="11"/>
      <c r="E58" s="11"/>
      <c r="F58" s="17"/>
      <c r="G58" s="17"/>
      <c r="H58" s="17"/>
      <c r="I58" s="17"/>
      <c r="J58" s="17"/>
      <c r="K58" s="17"/>
      <c r="L58" s="18"/>
      <c r="M58" s="15"/>
      <c r="N58" s="15"/>
      <c r="O58" s="15"/>
      <c r="P58" s="15"/>
      <c r="Q58" s="15"/>
      <c r="R58" s="15"/>
      <c r="S58" s="15"/>
      <c r="T58" s="15"/>
      <c r="U58" s="15"/>
      <c r="V58" s="15"/>
    </row>
    <row r="59" spans="1:22" ht="12.75" customHeight="1" x14ac:dyDescent="0.2">
      <c r="A59" s="12">
        <v>43</v>
      </c>
      <c r="B59" s="21" t="s">
        <v>81</v>
      </c>
      <c r="C59" s="11">
        <v>3484.1</v>
      </c>
      <c r="D59" s="11">
        <f t="shared" ref="D59:D60" si="7">F59+G59+H59+I59+J59+K59+M59+O59+Q59+S59+U59+V59</f>
        <v>4980982</v>
      </c>
      <c r="E59" s="11">
        <f>D59</f>
        <v>4980982</v>
      </c>
      <c r="F59" s="11"/>
      <c r="G59" s="11"/>
      <c r="H59" s="11"/>
      <c r="I59" s="11"/>
      <c r="J59" s="11"/>
      <c r="K59" s="11">
        <f>4864833-49000</f>
        <v>4815833</v>
      </c>
      <c r="L59" s="13"/>
      <c r="M59" s="15"/>
      <c r="N59" s="15"/>
      <c r="O59" s="15"/>
      <c r="P59" s="11"/>
      <c r="Q59" s="15"/>
      <c r="R59" s="15"/>
      <c r="S59" s="15"/>
      <c r="T59" s="15"/>
      <c r="U59" s="15"/>
      <c r="V59" s="15">
        <v>165149</v>
      </c>
    </row>
    <row r="60" spans="1:22" ht="12.75" customHeight="1" x14ac:dyDescent="0.2">
      <c r="A60" s="12">
        <v>44</v>
      </c>
      <c r="B60" s="21" t="s">
        <v>82</v>
      </c>
      <c r="C60" s="11">
        <v>7304.5</v>
      </c>
      <c r="D60" s="11">
        <f t="shared" si="7"/>
        <v>8860297</v>
      </c>
      <c r="E60" s="11">
        <f>D60</f>
        <v>8860297</v>
      </c>
      <c r="F60" s="11"/>
      <c r="G60" s="11"/>
      <c r="H60" s="11"/>
      <c r="I60" s="11"/>
      <c r="J60" s="11">
        <v>3528000</v>
      </c>
      <c r="K60" s="11">
        <f>4962361-127000</f>
        <v>4835361</v>
      </c>
      <c r="L60" s="13"/>
      <c r="M60" s="15"/>
      <c r="N60" s="15"/>
      <c r="O60" s="15"/>
      <c r="P60" s="11"/>
      <c r="Q60" s="15"/>
      <c r="R60" s="15"/>
      <c r="S60" s="15"/>
      <c r="T60" s="15"/>
      <c r="U60" s="15"/>
      <c r="V60" s="15">
        <v>496936</v>
      </c>
    </row>
    <row r="61" spans="1:22" s="1" customFormat="1" ht="12.75" customHeight="1" x14ac:dyDescent="0.25">
      <c r="A61" s="19" t="s">
        <v>75</v>
      </c>
      <c r="B61" s="20"/>
      <c r="C61" s="17"/>
      <c r="D61" s="11"/>
      <c r="E61" s="11"/>
      <c r="F61" s="17"/>
      <c r="G61" s="17"/>
      <c r="H61" s="17"/>
      <c r="I61" s="17"/>
      <c r="J61" s="17"/>
      <c r="K61" s="17"/>
      <c r="L61" s="18"/>
      <c r="M61" s="15"/>
      <c r="N61" s="15"/>
      <c r="O61" s="15"/>
      <c r="P61" s="15"/>
      <c r="Q61" s="15"/>
      <c r="R61" s="15"/>
      <c r="S61" s="15"/>
      <c r="T61" s="15"/>
      <c r="U61" s="15"/>
      <c r="V61" s="15"/>
    </row>
    <row r="62" spans="1:22" ht="12.75" customHeight="1" x14ac:dyDescent="0.2">
      <c r="A62" s="12">
        <v>45</v>
      </c>
      <c r="B62" s="21" t="s">
        <v>83</v>
      </c>
      <c r="C62" s="11">
        <v>4554.41</v>
      </c>
      <c r="D62" s="11">
        <f t="shared" ref="D62:D63" si="8">F62+G62+H62+I62+J62+K62+M62+O62+Q62+S62+U62+V62</f>
        <v>15962152</v>
      </c>
      <c r="E62" s="11">
        <f>D62</f>
        <v>15962152</v>
      </c>
      <c r="F62" s="11"/>
      <c r="G62" s="11">
        <v>6276000</v>
      </c>
      <c r="H62" s="11"/>
      <c r="I62" s="11"/>
      <c r="J62" s="11">
        <v>3276403</v>
      </c>
      <c r="K62" s="11">
        <v>4128268</v>
      </c>
      <c r="L62" s="13"/>
      <c r="M62" s="15"/>
      <c r="N62" s="15"/>
      <c r="O62" s="15"/>
      <c r="P62" s="11"/>
      <c r="Q62" s="15"/>
      <c r="R62" s="15"/>
      <c r="S62" s="15"/>
      <c r="T62" s="15"/>
      <c r="U62" s="15"/>
      <c r="V62" s="15">
        <v>2281481</v>
      </c>
    </row>
    <row r="63" spans="1:22" ht="12.75" customHeight="1" x14ac:dyDescent="0.2">
      <c r="A63" s="12">
        <v>46</v>
      </c>
      <c r="B63" s="21" t="s">
        <v>84</v>
      </c>
      <c r="C63" s="11">
        <v>4573.93</v>
      </c>
      <c r="D63" s="11">
        <f t="shared" si="8"/>
        <v>37176410</v>
      </c>
      <c r="E63" s="11">
        <f>D63</f>
        <v>37176410</v>
      </c>
      <c r="F63" s="11"/>
      <c r="G63" s="11">
        <v>6499686</v>
      </c>
      <c r="H63" s="11"/>
      <c r="I63" s="11"/>
      <c r="J63" s="11">
        <v>5100500</v>
      </c>
      <c r="K63" s="11">
        <v>3900600</v>
      </c>
      <c r="L63" s="13"/>
      <c r="M63" s="15"/>
      <c r="N63" s="15">
        <v>1450</v>
      </c>
      <c r="O63" s="15">
        <f>20061331-243000</f>
        <v>19818331</v>
      </c>
      <c r="P63" s="11"/>
      <c r="Q63" s="15"/>
      <c r="R63" s="15"/>
      <c r="S63" s="15"/>
      <c r="T63" s="15"/>
      <c r="U63" s="15"/>
      <c r="V63" s="15">
        <v>1857293</v>
      </c>
    </row>
    <row r="64" spans="1:22" ht="12.75" customHeight="1" x14ac:dyDescent="0.2">
      <c r="A64" s="19" t="s">
        <v>19</v>
      </c>
      <c r="B64" s="20"/>
      <c r="C64" s="17"/>
      <c r="D64" s="11"/>
      <c r="E64" s="11"/>
      <c r="F64" s="17"/>
      <c r="G64" s="17"/>
      <c r="H64" s="17"/>
      <c r="I64" s="17"/>
      <c r="J64" s="17"/>
      <c r="K64" s="17"/>
      <c r="L64" s="18"/>
      <c r="M64" s="17"/>
      <c r="N64" s="17"/>
      <c r="O64" s="17"/>
      <c r="P64" s="17"/>
      <c r="Q64" s="17"/>
      <c r="R64" s="17"/>
      <c r="S64" s="17"/>
      <c r="T64" s="17"/>
      <c r="U64" s="17"/>
      <c r="V64" s="15"/>
    </row>
    <row r="65" spans="1:22" ht="12.75" customHeight="1" x14ac:dyDescent="0.2">
      <c r="A65" s="12">
        <v>47</v>
      </c>
      <c r="B65" s="21" t="s">
        <v>24</v>
      </c>
      <c r="C65" s="11">
        <v>3221.06</v>
      </c>
      <c r="D65" s="11">
        <f t="shared" ref="D65:D68" si="9">F65+G65+H65+I65+J65+K65+M65+O65+Q65+S65+U65+V65</f>
        <v>10505750</v>
      </c>
      <c r="E65" s="11">
        <f>D65</f>
        <v>10505750</v>
      </c>
      <c r="F65" s="11"/>
      <c r="G65" s="11">
        <v>1500000</v>
      </c>
      <c r="H65" s="11"/>
      <c r="I65" s="11"/>
      <c r="J65" s="11">
        <v>1700000</v>
      </c>
      <c r="K65" s="11">
        <v>1525000</v>
      </c>
      <c r="L65" s="13"/>
      <c r="M65" s="11"/>
      <c r="N65" s="11">
        <v>947</v>
      </c>
      <c r="O65" s="11">
        <f>5000000-100000</f>
        <v>4900000</v>
      </c>
      <c r="P65" s="11"/>
      <c r="Q65" s="11"/>
      <c r="R65" s="11"/>
      <c r="S65" s="11"/>
      <c r="T65" s="11"/>
      <c r="U65" s="11"/>
      <c r="V65" s="15">
        <v>880750</v>
      </c>
    </row>
    <row r="66" spans="1:22" ht="12.75" customHeight="1" x14ac:dyDescent="0.2">
      <c r="A66" s="12">
        <v>48</v>
      </c>
      <c r="B66" s="21" t="s">
        <v>25</v>
      </c>
      <c r="C66" s="11">
        <v>572.1</v>
      </c>
      <c r="D66" s="11">
        <f t="shared" si="9"/>
        <v>4375185</v>
      </c>
      <c r="E66" s="11">
        <f>D66</f>
        <v>4375185</v>
      </c>
      <c r="F66" s="11"/>
      <c r="G66" s="11"/>
      <c r="H66" s="11"/>
      <c r="I66" s="11"/>
      <c r="J66" s="11">
        <f>800000+595500</f>
        <v>1395500</v>
      </c>
      <c r="K66" s="11"/>
      <c r="L66" s="13"/>
      <c r="M66" s="11"/>
      <c r="N66" s="11">
        <v>599</v>
      </c>
      <c r="O66" s="11">
        <v>2600000</v>
      </c>
      <c r="P66" s="11"/>
      <c r="Q66" s="11"/>
      <c r="R66" s="11"/>
      <c r="S66" s="11"/>
      <c r="T66" s="11"/>
      <c r="U66" s="11"/>
      <c r="V66" s="15">
        <v>379685</v>
      </c>
    </row>
    <row r="67" spans="1:22" ht="12.75" customHeight="1" x14ac:dyDescent="0.2">
      <c r="A67" s="12">
        <v>49</v>
      </c>
      <c r="B67" s="21" t="s">
        <v>22</v>
      </c>
      <c r="C67" s="11">
        <v>3870.26</v>
      </c>
      <c r="D67" s="11">
        <f t="shared" si="9"/>
        <v>8619875</v>
      </c>
      <c r="E67" s="11">
        <f>D67</f>
        <v>8619875</v>
      </c>
      <c r="F67" s="11"/>
      <c r="G67" s="11"/>
      <c r="H67" s="11"/>
      <c r="I67" s="11"/>
      <c r="J67" s="11"/>
      <c r="K67" s="11"/>
      <c r="L67" s="13"/>
      <c r="M67" s="15"/>
      <c r="N67" s="15">
        <v>679</v>
      </c>
      <c r="O67" s="15">
        <v>7962500</v>
      </c>
      <c r="P67" s="11"/>
      <c r="Q67" s="15"/>
      <c r="R67" s="15"/>
      <c r="S67" s="15"/>
      <c r="T67" s="15"/>
      <c r="U67" s="15"/>
      <c r="V67" s="15">
        <v>657375</v>
      </c>
    </row>
    <row r="68" spans="1:22" ht="12.75" customHeight="1" x14ac:dyDescent="0.2">
      <c r="A68" s="12">
        <v>50</v>
      </c>
      <c r="B68" s="21" t="s">
        <v>23</v>
      </c>
      <c r="C68" s="11">
        <v>3213.58</v>
      </c>
      <c r="D68" s="11">
        <f t="shared" si="9"/>
        <v>9730000</v>
      </c>
      <c r="E68" s="11">
        <f>D68</f>
        <v>9730000</v>
      </c>
      <c r="F68" s="11"/>
      <c r="G68" s="11">
        <v>2000000</v>
      </c>
      <c r="H68" s="11"/>
      <c r="I68" s="11"/>
      <c r="J68" s="11">
        <v>1000000</v>
      </c>
      <c r="K68" s="11">
        <v>1000000</v>
      </c>
      <c r="L68" s="13"/>
      <c r="M68" s="15"/>
      <c r="N68" s="15">
        <v>1030.7</v>
      </c>
      <c r="O68" s="15">
        <f>5000000-30000</f>
        <v>4970000</v>
      </c>
      <c r="P68" s="11"/>
      <c r="Q68" s="15"/>
      <c r="R68" s="15"/>
      <c r="S68" s="15"/>
      <c r="T68" s="15"/>
      <c r="U68" s="15"/>
      <c r="V68" s="15">
        <v>760000</v>
      </c>
    </row>
    <row r="69" spans="1:22" ht="12.75" customHeight="1" x14ac:dyDescent="0.2">
      <c r="A69" s="19" t="s">
        <v>26</v>
      </c>
      <c r="B69" s="20"/>
      <c r="C69" s="17"/>
      <c r="D69" s="11"/>
      <c r="E69" s="11"/>
      <c r="F69" s="17"/>
      <c r="G69" s="17"/>
      <c r="H69" s="17"/>
      <c r="I69" s="17"/>
      <c r="J69" s="17"/>
      <c r="K69" s="17"/>
      <c r="L69" s="18"/>
      <c r="M69" s="17"/>
      <c r="N69" s="17"/>
      <c r="O69" s="17"/>
      <c r="P69" s="17"/>
      <c r="Q69" s="17"/>
      <c r="R69" s="17"/>
      <c r="S69" s="17"/>
      <c r="T69" s="17"/>
      <c r="U69" s="17"/>
      <c r="V69" s="15"/>
    </row>
    <row r="70" spans="1:22" ht="12.75" customHeight="1" x14ac:dyDescent="0.2">
      <c r="A70" s="12">
        <v>51</v>
      </c>
      <c r="B70" s="21" t="s">
        <v>85</v>
      </c>
      <c r="C70" s="11">
        <v>10611.52</v>
      </c>
      <c r="D70" s="11">
        <f t="shared" ref="D70:D116" si="10">F70+G70+H70+I70+J70+K70+M70+O70+Q70+S70+U70+V70</f>
        <v>48420338</v>
      </c>
      <c r="E70" s="11">
        <f>D70</f>
        <v>48420338</v>
      </c>
      <c r="F70" s="11"/>
      <c r="G70" s="11"/>
      <c r="H70" s="11"/>
      <c r="I70" s="11"/>
      <c r="J70" s="11"/>
      <c r="K70" s="11"/>
      <c r="L70" s="13"/>
      <c r="M70" s="15"/>
      <c r="N70" s="15">
        <v>1325.3</v>
      </c>
      <c r="O70" s="15">
        <v>7289150</v>
      </c>
      <c r="P70" s="11"/>
      <c r="Q70" s="15"/>
      <c r="R70" s="15">
        <v>6983.2</v>
      </c>
      <c r="S70" s="15">
        <v>37716751</v>
      </c>
      <c r="T70" s="15"/>
      <c r="U70" s="15"/>
      <c r="V70" s="15">
        <v>3414437</v>
      </c>
    </row>
    <row r="71" spans="1:22" ht="12.75" customHeight="1" x14ac:dyDescent="0.2">
      <c r="A71" s="12">
        <v>52</v>
      </c>
      <c r="B71" s="21" t="s">
        <v>86</v>
      </c>
      <c r="C71" s="11">
        <v>6831.2</v>
      </c>
      <c r="D71" s="11">
        <f t="shared" si="10"/>
        <v>46315496</v>
      </c>
      <c r="E71" s="11">
        <f t="shared" ref="E71:E116" si="11">D71</f>
        <v>46315496</v>
      </c>
      <c r="F71" s="11"/>
      <c r="G71" s="11"/>
      <c r="H71" s="11"/>
      <c r="I71" s="11"/>
      <c r="J71" s="11"/>
      <c r="K71" s="11"/>
      <c r="L71" s="13"/>
      <c r="M71" s="15"/>
      <c r="N71" s="15">
        <v>968.97</v>
      </c>
      <c r="O71" s="15">
        <v>11969317.710000001</v>
      </c>
      <c r="P71" s="11"/>
      <c r="Q71" s="15"/>
      <c r="R71" s="15">
        <v>4555.3500000000004</v>
      </c>
      <c r="S71" s="15">
        <v>31076768.289999999</v>
      </c>
      <c r="T71" s="15"/>
      <c r="U71" s="15"/>
      <c r="V71" s="15">
        <v>3269410</v>
      </c>
    </row>
    <row r="72" spans="1:22" ht="12.75" customHeight="1" x14ac:dyDescent="0.2">
      <c r="A72" s="12">
        <v>53</v>
      </c>
      <c r="B72" s="21" t="s">
        <v>352</v>
      </c>
      <c r="C72" s="11">
        <v>4569.3</v>
      </c>
      <c r="D72" s="11">
        <f t="shared" si="10"/>
        <v>20786842.34</v>
      </c>
      <c r="E72" s="11">
        <f t="shared" si="11"/>
        <v>20786842.34</v>
      </c>
      <c r="F72" s="11"/>
      <c r="G72" s="11"/>
      <c r="H72" s="11"/>
      <c r="I72" s="11"/>
      <c r="J72" s="11"/>
      <c r="K72" s="11"/>
      <c r="L72" s="13"/>
      <c r="M72" s="15"/>
      <c r="N72" s="15"/>
      <c r="O72" s="15"/>
      <c r="P72" s="11"/>
      <c r="Q72" s="15"/>
      <c r="R72" s="15">
        <v>4080.59</v>
      </c>
      <c r="S72" s="15">
        <f>24280279-5374177.66</f>
        <v>18906101.34</v>
      </c>
      <c r="T72" s="15"/>
      <c r="U72" s="15"/>
      <c r="V72" s="15">
        <v>1880741</v>
      </c>
    </row>
    <row r="73" spans="1:22" ht="12.75" customHeight="1" x14ac:dyDescent="0.2">
      <c r="A73" s="12">
        <v>54</v>
      </c>
      <c r="B73" s="21" t="s">
        <v>437</v>
      </c>
      <c r="C73" s="11">
        <v>6201</v>
      </c>
      <c r="D73" s="11">
        <f t="shared" si="10"/>
        <v>13854978.67</v>
      </c>
      <c r="E73" s="11">
        <f t="shared" si="11"/>
        <v>13854978.67</v>
      </c>
      <c r="F73" s="11"/>
      <c r="G73" s="11"/>
      <c r="H73" s="11"/>
      <c r="I73" s="11"/>
      <c r="J73" s="11"/>
      <c r="K73" s="11"/>
      <c r="L73" s="16"/>
      <c r="M73" s="15"/>
      <c r="N73" s="15">
        <v>1421.5</v>
      </c>
      <c r="O73" s="15">
        <f>7818250+5374177.67</f>
        <v>13192427.67</v>
      </c>
      <c r="P73" s="11"/>
      <c r="Q73" s="15"/>
      <c r="R73" s="15"/>
      <c r="S73" s="15"/>
      <c r="T73" s="15"/>
      <c r="U73" s="15"/>
      <c r="V73" s="15">
        <v>662551</v>
      </c>
    </row>
    <row r="74" spans="1:22" ht="12.75" customHeight="1" x14ac:dyDescent="0.2">
      <c r="A74" s="12">
        <v>55</v>
      </c>
      <c r="B74" s="21" t="s">
        <v>336</v>
      </c>
      <c r="C74" s="11">
        <v>4897.6000000000004</v>
      </c>
      <c r="D74" s="11">
        <f t="shared" si="10"/>
        <v>7197209</v>
      </c>
      <c r="E74" s="11">
        <f t="shared" si="11"/>
        <v>7197209</v>
      </c>
      <c r="F74" s="11"/>
      <c r="G74" s="11"/>
      <c r="H74" s="11"/>
      <c r="I74" s="11"/>
      <c r="J74" s="11"/>
      <c r="K74" s="11"/>
      <c r="L74" s="16"/>
      <c r="M74" s="15"/>
      <c r="N74" s="15">
        <v>1204.2</v>
      </c>
      <c r="O74" s="15">
        <v>6623100</v>
      </c>
      <c r="P74" s="11"/>
      <c r="Q74" s="15"/>
      <c r="R74" s="15"/>
      <c r="S74" s="15"/>
      <c r="T74" s="15"/>
      <c r="U74" s="15"/>
      <c r="V74" s="15">
        <v>574109</v>
      </c>
    </row>
    <row r="75" spans="1:22" ht="12.75" customHeight="1" x14ac:dyDescent="0.2">
      <c r="A75" s="12">
        <v>56</v>
      </c>
      <c r="B75" s="21" t="s">
        <v>337</v>
      </c>
      <c r="C75" s="11">
        <v>5060.5</v>
      </c>
      <c r="D75" s="11">
        <f t="shared" si="10"/>
        <v>7419904</v>
      </c>
      <c r="E75" s="11">
        <f t="shared" si="11"/>
        <v>7419904</v>
      </c>
      <c r="F75" s="11"/>
      <c r="G75" s="11"/>
      <c r="H75" s="11"/>
      <c r="I75" s="11"/>
      <c r="J75" s="11"/>
      <c r="K75" s="11"/>
      <c r="L75" s="16"/>
      <c r="M75" s="15"/>
      <c r="N75" s="15">
        <v>1241.9000000000001</v>
      </c>
      <c r="O75" s="15">
        <v>6830450</v>
      </c>
      <c r="P75" s="11"/>
      <c r="Q75" s="15"/>
      <c r="R75" s="15"/>
      <c r="S75" s="15"/>
      <c r="T75" s="15"/>
      <c r="U75" s="15"/>
      <c r="V75" s="15">
        <v>589454</v>
      </c>
    </row>
    <row r="76" spans="1:22" ht="12.75" customHeight="1" x14ac:dyDescent="0.2">
      <c r="A76" s="12">
        <v>57</v>
      </c>
      <c r="B76" s="21" t="s">
        <v>430</v>
      </c>
      <c r="C76" s="11">
        <v>13449</v>
      </c>
      <c r="D76" s="11">
        <f t="shared" si="10"/>
        <v>11250003</v>
      </c>
      <c r="E76" s="11">
        <f t="shared" si="11"/>
        <v>11250003</v>
      </c>
      <c r="F76" s="11"/>
      <c r="G76" s="11"/>
      <c r="H76" s="11"/>
      <c r="I76" s="11"/>
      <c r="J76" s="11"/>
      <c r="K76" s="11"/>
      <c r="L76" s="16"/>
      <c r="M76" s="15"/>
      <c r="N76" s="15">
        <v>1890.3</v>
      </c>
      <c r="O76" s="15">
        <v>10396650</v>
      </c>
      <c r="P76" s="11"/>
      <c r="Q76" s="15"/>
      <c r="R76" s="15"/>
      <c r="S76" s="15"/>
      <c r="T76" s="15"/>
      <c r="U76" s="15"/>
      <c r="V76" s="15">
        <v>853353</v>
      </c>
    </row>
    <row r="77" spans="1:22" ht="13.5" customHeight="1" x14ac:dyDescent="0.2">
      <c r="A77" s="12">
        <v>58</v>
      </c>
      <c r="B77" s="21" t="s">
        <v>339</v>
      </c>
      <c r="C77" s="11">
        <v>5189.1000000000004</v>
      </c>
      <c r="D77" s="11">
        <f t="shared" si="10"/>
        <v>27764941</v>
      </c>
      <c r="E77" s="11">
        <f t="shared" si="11"/>
        <v>27764941</v>
      </c>
      <c r="F77" s="11"/>
      <c r="G77" s="11"/>
      <c r="H77" s="11"/>
      <c r="I77" s="11"/>
      <c r="J77" s="11"/>
      <c r="K77" s="11"/>
      <c r="L77" s="13"/>
      <c r="M77" s="15"/>
      <c r="N77" s="15">
        <v>1332.72</v>
      </c>
      <c r="O77" s="15">
        <v>7329960</v>
      </c>
      <c r="P77" s="11"/>
      <c r="Q77" s="15"/>
      <c r="R77" s="15">
        <v>8775</v>
      </c>
      <c r="S77" s="15">
        <v>18443728</v>
      </c>
      <c r="T77" s="15"/>
      <c r="U77" s="15"/>
      <c r="V77" s="15">
        <v>1991253</v>
      </c>
    </row>
    <row r="78" spans="1:22" ht="12.75" customHeight="1" x14ac:dyDescent="0.2">
      <c r="A78" s="12">
        <v>59</v>
      </c>
      <c r="B78" s="21" t="s">
        <v>344</v>
      </c>
      <c r="C78" s="11">
        <v>15281.8</v>
      </c>
      <c r="D78" s="11">
        <f t="shared" si="10"/>
        <v>72515125</v>
      </c>
      <c r="E78" s="11">
        <f t="shared" si="11"/>
        <v>72515125</v>
      </c>
      <c r="F78" s="11"/>
      <c r="G78" s="11"/>
      <c r="H78" s="11"/>
      <c r="I78" s="11"/>
      <c r="J78" s="11"/>
      <c r="K78" s="11"/>
      <c r="L78" s="16"/>
      <c r="M78" s="15"/>
      <c r="N78" s="15">
        <v>2386.1999999999998</v>
      </c>
      <c r="O78" s="15">
        <v>13124100</v>
      </c>
      <c r="P78" s="11"/>
      <c r="Q78" s="15"/>
      <c r="R78" s="15">
        <v>11950.5</v>
      </c>
      <c r="S78" s="15">
        <v>54316426</v>
      </c>
      <c r="T78" s="15"/>
      <c r="U78" s="15"/>
      <c r="V78" s="15">
        <v>5074599</v>
      </c>
    </row>
    <row r="79" spans="1:22" ht="12.75" customHeight="1" x14ac:dyDescent="0.2">
      <c r="A79" s="12">
        <v>60</v>
      </c>
      <c r="B79" s="21" t="s">
        <v>449</v>
      </c>
      <c r="C79" s="11">
        <v>10327.299999999999</v>
      </c>
      <c r="D79" s="11">
        <f t="shared" si="10"/>
        <v>9221656</v>
      </c>
      <c r="E79" s="11">
        <f t="shared" si="11"/>
        <v>9221656</v>
      </c>
      <c r="F79" s="11"/>
      <c r="G79" s="11"/>
      <c r="H79" s="11"/>
      <c r="I79" s="11"/>
      <c r="J79" s="11"/>
      <c r="K79" s="11"/>
      <c r="L79" s="16"/>
      <c r="M79" s="15"/>
      <c r="N79" s="15">
        <v>1456.92</v>
      </c>
      <c r="O79" s="15">
        <v>8508060</v>
      </c>
      <c r="P79" s="11"/>
      <c r="Q79" s="15"/>
      <c r="R79" s="15">
        <v>6794.6</v>
      </c>
      <c r="S79" s="15"/>
      <c r="T79" s="15"/>
      <c r="U79" s="15"/>
      <c r="V79" s="15">
        <v>713596</v>
      </c>
    </row>
    <row r="80" spans="1:22" ht="12.75" customHeight="1" x14ac:dyDescent="0.2">
      <c r="A80" s="12">
        <v>61</v>
      </c>
      <c r="B80" s="21" t="s">
        <v>448</v>
      </c>
      <c r="C80" s="11">
        <v>16356</v>
      </c>
      <c r="D80" s="11">
        <f t="shared" si="10"/>
        <v>77984955</v>
      </c>
      <c r="E80" s="11">
        <f t="shared" si="11"/>
        <v>77984955</v>
      </c>
      <c r="F80" s="11"/>
      <c r="G80" s="11"/>
      <c r="H80" s="11"/>
      <c r="I80" s="11"/>
      <c r="J80" s="11"/>
      <c r="K80" s="11"/>
      <c r="L80" s="13"/>
      <c r="M80" s="15"/>
      <c r="N80" s="15">
        <v>2618</v>
      </c>
      <c r="O80" s="15">
        <v>14399000</v>
      </c>
      <c r="P80" s="11"/>
      <c r="Q80" s="15"/>
      <c r="R80" s="15">
        <v>9483.49</v>
      </c>
      <c r="S80" s="15">
        <v>58134478</v>
      </c>
      <c r="T80" s="15"/>
      <c r="U80" s="15"/>
      <c r="V80" s="15">
        <v>5451477</v>
      </c>
    </row>
    <row r="81" spans="1:22" ht="12.75" customHeight="1" x14ac:dyDescent="0.2">
      <c r="A81" s="12">
        <v>62</v>
      </c>
      <c r="B81" s="21" t="s">
        <v>340</v>
      </c>
      <c r="C81" s="11">
        <v>6663.2</v>
      </c>
      <c r="D81" s="11">
        <f t="shared" si="10"/>
        <v>30847821</v>
      </c>
      <c r="E81" s="11">
        <f t="shared" si="11"/>
        <v>30847821</v>
      </c>
      <c r="F81" s="11"/>
      <c r="G81" s="11"/>
      <c r="H81" s="11"/>
      <c r="I81" s="11"/>
      <c r="J81" s="11"/>
      <c r="K81" s="11"/>
      <c r="L81" s="16"/>
      <c r="M81" s="15"/>
      <c r="N81" s="15">
        <v>902</v>
      </c>
      <c r="O81" s="15">
        <v>4961000</v>
      </c>
      <c r="P81" s="11"/>
      <c r="Q81" s="15"/>
      <c r="R81" s="15">
        <v>4525.2</v>
      </c>
      <c r="S81" s="15">
        <v>23683153</v>
      </c>
      <c r="T81" s="15"/>
      <c r="U81" s="15"/>
      <c r="V81" s="15">
        <v>2203668</v>
      </c>
    </row>
    <row r="82" spans="1:22" ht="12.75" customHeight="1" x14ac:dyDescent="0.2">
      <c r="A82" s="12">
        <v>63</v>
      </c>
      <c r="B82" s="21" t="s">
        <v>341</v>
      </c>
      <c r="C82" s="11">
        <v>11308.49</v>
      </c>
      <c r="D82" s="11">
        <f t="shared" si="10"/>
        <v>52400002</v>
      </c>
      <c r="E82" s="11">
        <f t="shared" si="11"/>
        <v>52400002</v>
      </c>
      <c r="F82" s="11"/>
      <c r="G82" s="11"/>
      <c r="H82" s="11"/>
      <c r="I82" s="11"/>
      <c r="J82" s="11"/>
      <c r="K82" s="11"/>
      <c r="L82" s="16"/>
      <c r="M82" s="15"/>
      <c r="N82" s="15">
        <v>1548.61</v>
      </c>
      <c r="O82" s="15">
        <v>8517355</v>
      </c>
      <c r="P82" s="11"/>
      <c r="Q82" s="15"/>
      <c r="R82" s="15">
        <v>6971.4</v>
      </c>
      <c r="S82" s="15">
        <v>40194006</v>
      </c>
      <c r="T82" s="15"/>
      <c r="U82" s="15"/>
      <c r="V82" s="15">
        <v>3688641</v>
      </c>
    </row>
    <row r="83" spans="1:22" ht="12.75" customHeight="1" x14ac:dyDescent="0.2">
      <c r="A83" s="12">
        <v>64</v>
      </c>
      <c r="B83" s="21" t="s">
        <v>342</v>
      </c>
      <c r="C83" s="11">
        <v>6252.3</v>
      </c>
      <c r="D83" s="11">
        <f t="shared" si="10"/>
        <v>28234386</v>
      </c>
      <c r="E83" s="11">
        <f t="shared" si="11"/>
        <v>28234386</v>
      </c>
      <c r="F83" s="11"/>
      <c r="G83" s="11"/>
      <c r="H83" s="11"/>
      <c r="I83" s="11"/>
      <c r="J83" s="11"/>
      <c r="K83" s="11"/>
      <c r="L83" s="13"/>
      <c r="M83" s="15"/>
      <c r="N83" s="15">
        <v>725.11</v>
      </c>
      <c r="O83" s="15">
        <v>3988105</v>
      </c>
      <c r="P83" s="11"/>
      <c r="Q83" s="15"/>
      <c r="R83" s="15">
        <v>4525.2</v>
      </c>
      <c r="S83" s="15">
        <v>22222683</v>
      </c>
      <c r="T83" s="15"/>
      <c r="U83" s="15"/>
      <c r="V83" s="15">
        <v>2023598</v>
      </c>
    </row>
    <row r="84" spans="1:22" ht="12.75" customHeight="1" x14ac:dyDescent="0.2">
      <c r="A84" s="12">
        <v>65</v>
      </c>
      <c r="B84" s="21" t="s">
        <v>343</v>
      </c>
      <c r="C84" s="11">
        <v>11183.5</v>
      </c>
      <c r="D84" s="11">
        <f t="shared" si="10"/>
        <v>52216391</v>
      </c>
      <c r="E84" s="11">
        <f t="shared" si="11"/>
        <v>52216391</v>
      </c>
      <c r="F84" s="11"/>
      <c r="G84" s="11"/>
      <c r="H84" s="11"/>
      <c r="I84" s="11"/>
      <c r="J84" s="11"/>
      <c r="K84" s="11"/>
      <c r="L84" s="16"/>
      <c r="M84" s="15"/>
      <c r="N84" s="15">
        <v>1598.3</v>
      </c>
      <c r="O84" s="15">
        <v>8790650</v>
      </c>
      <c r="P84" s="11"/>
      <c r="Q84" s="15"/>
      <c r="R84" s="11">
        <v>7022.7</v>
      </c>
      <c r="S84" s="15">
        <v>39749751</v>
      </c>
      <c r="T84" s="15"/>
      <c r="U84" s="15"/>
      <c r="V84" s="15">
        <v>3675990</v>
      </c>
    </row>
    <row r="85" spans="1:22" ht="12.75" customHeight="1" x14ac:dyDescent="0.2">
      <c r="A85" s="12">
        <v>66</v>
      </c>
      <c r="B85" s="21" t="s">
        <v>345</v>
      </c>
      <c r="C85" s="11">
        <v>21638.799999999999</v>
      </c>
      <c r="D85" s="11">
        <f t="shared" si="10"/>
        <v>94263532</v>
      </c>
      <c r="E85" s="11">
        <f t="shared" si="11"/>
        <v>94263532</v>
      </c>
      <c r="F85" s="11"/>
      <c r="G85" s="11"/>
      <c r="H85" s="11"/>
      <c r="I85" s="11"/>
      <c r="J85" s="11"/>
      <c r="K85" s="11"/>
      <c r="L85" s="16"/>
      <c r="M85" s="15"/>
      <c r="N85" s="15">
        <v>1958.5</v>
      </c>
      <c r="O85" s="15">
        <v>10771750</v>
      </c>
      <c r="P85" s="11"/>
      <c r="Q85" s="15"/>
      <c r="R85" s="15">
        <v>2583.36</v>
      </c>
      <c r="S85" s="15">
        <v>76918689</v>
      </c>
      <c r="T85" s="15"/>
      <c r="U85" s="15"/>
      <c r="V85" s="15">
        <v>6573093</v>
      </c>
    </row>
    <row r="86" spans="1:22" ht="12.75" customHeight="1" x14ac:dyDescent="0.2">
      <c r="A86" s="12">
        <v>67</v>
      </c>
      <c r="B86" s="21" t="s">
        <v>338</v>
      </c>
      <c r="C86" s="11">
        <v>2981.1</v>
      </c>
      <c r="D86" s="11">
        <f t="shared" si="10"/>
        <v>16325927</v>
      </c>
      <c r="E86" s="11">
        <f t="shared" si="11"/>
        <v>16325927</v>
      </c>
      <c r="F86" s="11"/>
      <c r="G86" s="11"/>
      <c r="H86" s="11"/>
      <c r="I86" s="11"/>
      <c r="J86" s="11"/>
      <c r="K86" s="11"/>
      <c r="L86" s="16"/>
      <c r="M86" s="15"/>
      <c r="N86" s="15">
        <v>823.1</v>
      </c>
      <c r="O86" s="15">
        <v>4527050</v>
      </c>
      <c r="P86" s="11"/>
      <c r="Q86" s="15"/>
      <c r="R86" s="15">
        <v>1678</v>
      </c>
      <c r="S86" s="15">
        <v>10595787</v>
      </c>
      <c r="T86" s="15"/>
      <c r="U86" s="15"/>
      <c r="V86" s="15">
        <v>1203090</v>
      </c>
    </row>
    <row r="87" spans="1:22" ht="12.75" customHeight="1" x14ac:dyDescent="0.2">
      <c r="A87" s="12">
        <v>68</v>
      </c>
      <c r="B87" s="21" t="s">
        <v>346</v>
      </c>
      <c r="C87" s="11">
        <v>1045.54</v>
      </c>
      <c r="D87" s="11">
        <f t="shared" si="10"/>
        <v>9183556</v>
      </c>
      <c r="E87" s="11">
        <f t="shared" si="11"/>
        <v>9183556</v>
      </c>
      <c r="F87" s="11"/>
      <c r="G87" s="11"/>
      <c r="H87" s="11"/>
      <c r="I87" s="11"/>
      <c r="J87" s="11"/>
      <c r="K87" s="11"/>
      <c r="L87" s="13"/>
      <c r="M87" s="15"/>
      <c r="N87" s="15">
        <v>574.5</v>
      </c>
      <c r="O87" s="15">
        <v>4756400</v>
      </c>
      <c r="P87" s="11"/>
      <c r="Q87" s="15"/>
      <c r="R87" s="15">
        <v>1131.04</v>
      </c>
      <c r="S87" s="15">
        <v>3716185</v>
      </c>
      <c r="T87" s="15"/>
      <c r="U87" s="15"/>
      <c r="V87" s="15">
        <v>710971</v>
      </c>
    </row>
    <row r="88" spans="1:22" ht="12.75" customHeight="1" x14ac:dyDescent="0.2">
      <c r="A88" s="12">
        <v>69</v>
      </c>
      <c r="B88" s="21" t="s">
        <v>320</v>
      </c>
      <c r="C88" s="11">
        <v>1981.2</v>
      </c>
      <c r="D88" s="11">
        <f t="shared" si="10"/>
        <v>8265169</v>
      </c>
      <c r="E88" s="11">
        <f t="shared" si="11"/>
        <v>8265169</v>
      </c>
      <c r="F88" s="11"/>
      <c r="G88" s="11"/>
      <c r="H88" s="11"/>
      <c r="I88" s="11"/>
      <c r="J88" s="11"/>
      <c r="K88" s="11"/>
      <c r="L88" s="13"/>
      <c r="M88" s="15"/>
      <c r="N88" s="15">
        <v>762.12</v>
      </c>
      <c r="O88" s="15">
        <v>7621200</v>
      </c>
      <c r="P88" s="11"/>
      <c r="Q88" s="15"/>
      <c r="R88" s="15">
        <v>1170.54</v>
      </c>
      <c r="S88" s="15"/>
      <c r="T88" s="15"/>
      <c r="U88" s="15"/>
      <c r="V88" s="15">
        <v>643969</v>
      </c>
    </row>
    <row r="89" spans="1:22" ht="12.75" customHeight="1" x14ac:dyDescent="0.2">
      <c r="A89" s="12">
        <v>70</v>
      </c>
      <c r="B89" s="21" t="s">
        <v>347</v>
      </c>
      <c r="C89" s="11">
        <v>2142.63</v>
      </c>
      <c r="D89" s="11">
        <f t="shared" si="10"/>
        <v>4948415</v>
      </c>
      <c r="E89" s="11">
        <f t="shared" si="11"/>
        <v>4948415</v>
      </c>
      <c r="F89" s="11"/>
      <c r="G89" s="11"/>
      <c r="H89" s="11"/>
      <c r="I89" s="11"/>
      <c r="J89" s="11"/>
      <c r="K89" s="11"/>
      <c r="L89" s="13"/>
      <c r="M89" s="15"/>
      <c r="N89" s="15">
        <v>823.5</v>
      </c>
      <c r="O89" s="15">
        <v>4529250</v>
      </c>
      <c r="P89" s="11"/>
      <c r="Q89" s="15"/>
      <c r="R89" s="15"/>
      <c r="S89" s="15"/>
      <c r="T89" s="15"/>
      <c r="U89" s="15"/>
      <c r="V89" s="15">
        <v>419165</v>
      </c>
    </row>
    <row r="90" spans="1:22" ht="12.75" customHeight="1" x14ac:dyDescent="0.2">
      <c r="A90" s="12">
        <v>71</v>
      </c>
      <c r="B90" s="21" t="s">
        <v>348</v>
      </c>
      <c r="C90" s="11">
        <v>3170.2</v>
      </c>
      <c r="D90" s="11">
        <f t="shared" si="10"/>
        <v>4412886</v>
      </c>
      <c r="E90" s="11">
        <f t="shared" si="11"/>
        <v>4412886</v>
      </c>
      <c r="F90" s="11"/>
      <c r="G90" s="11"/>
      <c r="H90" s="11"/>
      <c r="I90" s="11"/>
      <c r="J90" s="11"/>
      <c r="K90" s="11"/>
      <c r="L90" s="13"/>
      <c r="M90" s="15"/>
      <c r="N90" s="15">
        <v>732.84</v>
      </c>
      <c r="O90" s="15">
        <v>4030620</v>
      </c>
      <c r="P90" s="11"/>
      <c r="Q90" s="15"/>
      <c r="R90" s="15">
        <v>2372</v>
      </c>
      <c r="S90" s="15"/>
      <c r="T90" s="15"/>
      <c r="U90" s="15"/>
      <c r="V90" s="15">
        <v>382266</v>
      </c>
    </row>
    <row r="91" spans="1:22" ht="12.75" customHeight="1" x14ac:dyDescent="0.2">
      <c r="A91" s="12">
        <v>72</v>
      </c>
      <c r="B91" s="21" t="s">
        <v>349</v>
      </c>
      <c r="C91" s="11">
        <v>4223.3900000000003</v>
      </c>
      <c r="D91" s="11">
        <f t="shared" si="10"/>
        <v>6968609</v>
      </c>
      <c r="E91" s="11">
        <f t="shared" si="11"/>
        <v>6968609</v>
      </c>
      <c r="F91" s="11"/>
      <c r="G91" s="11"/>
      <c r="H91" s="11"/>
      <c r="I91" s="11"/>
      <c r="J91" s="11"/>
      <c r="K91" s="11"/>
      <c r="L91" s="13"/>
      <c r="M91" s="15"/>
      <c r="N91" s="15">
        <v>1165.5</v>
      </c>
      <c r="O91" s="15">
        <v>6410250</v>
      </c>
      <c r="P91" s="11"/>
      <c r="Q91" s="15"/>
      <c r="R91" s="15">
        <v>4723.3900000000003</v>
      </c>
      <c r="S91" s="15"/>
      <c r="T91" s="15"/>
      <c r="U91" s="15"/>
      <c r="V91" s="15">
        <v>558359</v>
      </c>
    </row>
    <row r="92" spans="1:22" ht="12.75" customHeight="1" x14ac:dyDescent="0.2">
      <c r="A92" s="12">
        <v>73</v>
      </c>
      <c r="B92" s="21" t="s">
        <v>350</v>
      </c>
      <c r="C92" s="11">
        <v>4541.51</v>
      </c>
      <c r="D92" s="11">
        <f t="shared" si="10"/>
        <v>9694689</v>
      </c>
      <c r="E92" s="11">
        <f t="shared" si="11"/>
        <v>9694689</v>
      </c>
      <c r="F92" s="11"/>
      <c r="G92" s="11"/>
      <c r="H92" s="11"/>
      <c r="I92" s="11"/>
      <c r="J92" s="11"/>
      <c r="K92" s="11"/>
      <c r="L92" s="13"/>
      <c r="M92" s="15"/>
      <c r="N92" s="15">
        <v>1627</v>
      </c>
      <c r="O92" s="15">
        <v>8948500</v>
      </c>
      <c r="P92" s="11"/>
      <c r="Q92" s="15"/>
      <c r="R92" s="15">
        <v>3055.5</v>
      </c>
      <c r="S92" s="15"/>
      <c r="T92" s="15"/>
      <c r="U92" s="15"/>
      <c r="V92" s="15">
        <v>746189</v>
      </c>
    </row>
    <row r="93" spans="1:22" ht="12.75" customHeight="1" x14ac:dyDescent="0.2">
      <c r="A93" s="12">
        <v>74</v>
      </c>
      <c r="B93" s="21" t="s">
        <v>450</v>
      </c>
      <c r="C93" s="11">
        <v>6077.17</v>
      </c>
      <c r="D93" s="11">
        <f t="shared" si="10"/>
        <v>27710399</v>
      </c>
      <c r="E93" s="11">
        <f t="shared" si="11"/>
        <v>27710399</v>
      </c>
      <c r="F93" s="11"/>
      <c r="G93" s="11"/>
      <c r="H93" s="11"/>
      <c r="I93" s="11"/>
      <c r="J93" s="11"/>
      <c r="K93" s="11"/>
      <c r="L93" s="13"/>
      <c r="M93" s="15"/>
      <c r="N93" s="15">
        <v>749.58</v>
      </c>
      <c r="O93" s="15">
        <v>4122690</v>
      </c>
      <c r="P93" s="11"/>
      <c r="Q93" s="15"/>
      <c r="R93" s="15">
        <v>3264.47</v>
      </c>
      <c r="S93" s="15">
        <v>21600214</v>
      </c>
      <c r="T93" s="15"/>
      <c r="U93" s="15"/>
      <c r="V93" s="15">
        <v>1987495</v>
      </c>
    </row>
    <row r="94" spans="1:22" ht="12.75" customHeight="1" x14ac:dyDescent="0.2">
      <c r="A94" s="12">
        <v>75</v>
      </c>
      <c r="B94" s="21" t="s">
        <v>351</v>
      </c>
      <c r="C94" s="11">
        <v>2493.12</v>
      </c>
      <c r="D94" s="11">
        <f t="shared" si="10"/>
        <v>18882596</v>
      </c>
      <c r="E94" s="11">
        <f t="shared" si="11"/>
        <v>18882596</v>
      </c>
      <c r="F94" s="11"/>
      <c r="G94" s="11"/>
      <c r="H94" s="11"/>
      <c r="I94" s="11"/>
      <c r="J94" s="11"/>
      <c r="K94" s="11"/>
      <c r="L94" s="13"/>
      <c r="M94" s="15"/>
      <c r="N94" s="15">
        <v>864.2</v>
      </c>
      <c r="O94" s="15">
        <v>8642000</v>
      </c>
      <c r="P94" s="11"/>
      <c r="Q94" s="15"/>
      <c r="R94" s="15">
        <v>1511.93</v>
      </c>
      <c r="S94" s="15">
        <v>8861349</v>
      </c>
      <c r="T94" s="15"/>
      <c r="U94" s="15"/>
      <c r="V94" s="15">
        <v>1379247</v>
      </c>
    </row>
    <row r="95" spans="1:22" ht="12.75" customHeight="1" x14ac:dyDescent="0.2">
      <c r="A95" s="12">
        <v>76</v>
      </c>
      <c r="B95" s="21" t="s">
        <v>196</v>
      </c>
      <c r="C95" s="11">
        <v>6765.9</v>
      </c>
      <c r="D95" s="11">
        <f t="shared" si="10"/>
        <v>30341407</v>
      </c>
      <c r="E95" s="11">
        <f t="shared" si="11"/>
        <v>30341407</v>
      </c>
      <c r="F95" s="11"/>
      <c r="G95" s="11"/>
      <c r="H95" s="11"/>
      <c r="I95" s="11"/>
      <c r="J95" s="11"/>
      <c r="K95" s="11"/>
      <c r="L95" s="13"/>
      <c r="M95" s="15"/>
      <c r="N95" s="15">
        <v>749.9</v>
      </c>
      <c r="O95" s="15">
        <v>4124450</v>
      </c>
      <c r="P95" s="11"/>
      <c r="Q95" s="15"/>
      <c r="R95" s="15">
        <v>3400.49</v>
      </c>
      <c r="S95" s="15">
        <v>24048182</v>
      </c>
      <c r="T95" s="15"/>
      <c r="U95" s="15"/>
      <c r="V95" s="15">
        <v>2168775</v>
      </c>
    </row>
    <row r="96" spans="1:22" ht="12.75" customHeight="1" x14ac:dyDescent="0.2">
      <c r="A96" s="12">
        <v>77</v>
      </c>
      <c r="B96" s="21" t="s">
        <v>157</v>
      </c>
      <c r="C96" s="11">
        <v>3749.34</v>
      </c>
      <c r="D96" s="11">
        <f t="shared" si="10"/>
        <v>13075104</v>
      </c>
      <c r="E96" s="11">
        <f t="shared" si="11"/>
        <v>13075104</v>
      </c>
      <c r="F96" s="11"/>
      <c r="G96" s="11"/>
      <c r="H96" s="11"/>
      <c r="I96" s="11"/>
      <c r="J96" s="11"/>
      <c r="K96" s="11"/>
      <c r="L96" s="13"/>
      <c r="M96" s="15"/>
      <c r="N96" s="15">
        <v>1209.5999999999999</v>
      </c>
      <c r="O96" s="15">
        <v>12096000</v>
      </c>
      <c r="P96" s="11"/>
      <c r="Q96" s="15"/>
      <c r="R96" s="15"/>
      <c r="S96" s="15"/>
      <c r="T96" s="15"/>
      <c r="U96" s="15"/>
      <c r="V96" s="15">
        <v>979104</v>
      </c>
    </row>
    <row r="97" spans="1:22" ht="12.75" customHeight="1" x14ac:dyDescent="0.2">
      <c r="A97" s="12">
        <v>78</v>
      </c>
      <c r="B97" s="21" t="s">
        <v>193</v>
      </c>
      <c r="C97" s="11">
        <v>9814</v>
      </c>
      <c r="D97" s="11">
        <f t="shared" si="10"/>
        <v>8232175</v>
      </c>
      <c r="E97" s="11">
        <f t="shared" si="11"/>
        <v>8232175</v>
      </c>
      <c r="F97" s="11"/>
      <c r="G97" s="11"/>
      <c r="H97" s="11"/>
      <c r="I97" s="11"/>
      <c r="J97" s="11"/>
      <c r="K97" s="11"/>
      <c r="L97" s="13"/>
      <c r="M97" s="15"/>
      <c r="N97" s="15">
        <v>1379.41</v>
      </c>
      <c r="O97" s="15">
        <v>7586755</v>
      </c>
      <c r="P97" s="11"/>
      <c r="Q97" s="15"/>
      <c r="R97" s="15">
        <v>9814</v>
      </c>
      <c r="S97" s="15"/>
      <c r="T97" s="15"/>
      <c r="U97" s="15"/>
      <c r="V97" s="15">
        <v>645420</v>
      </c>
    </row>
    <row r="98" spans="1:22" ht="12.75" customHeight="1" x14ac:dyDescent="0.2">
      <c r="A98" s="12">
        <v>79</v>
      </c>
      <c r="B98" s="21" t="s">
        <v>194</v>
      </c>
      <c r="C98" s="11">
        <v>3965</v>
      </c>
      <c r="D98" s="11">
        <f t="shared" si="10"/>
        <v>3375972</v>
      </c>
      <c r="E98" s="11">
        <f t="shared" si="11"/>
        <v>3375972</v>
      </c>
      <c r="F98" s="11"/>
      <c r="G98" s="11"/>
      <c r="H98" s="11"/>
      <c r="I98" s="11"/>
      <c r="J98" s="11"/>
      <c r="K98" s="11"/>
      <c r="L98" s="13"/>
      <c r="M98" s="15"/>
      <c r="N98" s="15">
        <v>557.29999999999995</v>
      </c>
      <c r="O98" s="15">
        <v>3065150</v>
      </c>
      <c r="P98" s="11"/>
      <c r="Q98" s="15"/>
      <c r="R98" s="15">
        <v>3374.2</v>
      </c>
      <c r="S98" s="15"/>
      <c r="T98" s="15"/>
      <c r="U98" s="15"/>
      <c r="V98" s="15">
        <v>310822</v>
      </c>
    </row>
    <row r="99" spans="1:22" ht="12.75" customHeight="1" x14ac:dyDescent="0.2">
      <c r="A99" s="12">
        <v>80</v>
      </c>
      <c r="B99" s="21" t="s">
        <v>195</v>
      </c>
      <c r="C99" s="11">
        <v>4054.2</v>
      </c>
      <c r="D99" s="11">
        <f t="shared" si="10"/>
        <v>3450045</v>
      </c>
      <c r="E99" s="11">
        <f t="shared" si="11"/>
        <v>3450045</v>
      </c>
      <c r="F99" s="11"/>
      <c r="G99" s="11"/>
      <c r="H99" s="11"/>
      <c r="I99" s="11"/>
      <c r="J99" s="11"/>
      <c r="K99" s="11"/>
      <c r="L99" s="13"/>
      <c r="M99" s="15"/>
      <c r="N99" s="15">
        <v>569.84</v>
      </c>
      <c r="O99" s="15">
        <v>3134120</v>
      </c>
      <c r="P99" s="11"/>
      <c r="Q99" s="15"/>
      <c r="R99" s="15">
        <v>5400</v>
      </c>
      <c r="S99" s="15"/>
      <c r="T99" s="15"/>
      <c r="U99" s="15"/>
      <c r="V99" s="15">
        <v>315925</v>
      </c>
    </row>
    <row r="100" spans="1:22" ht="12.75" customHeight="1" x14ac:dyDescent="0.2">
      <c r="A100" s="12">
        <v>81</v>
      </c>
      <c r="B100" s="21" t="s">
        <v>191</v>
      </c>
      <c r="C100" s="11">
        <v>1102.4000000000001</v>
      </c>
      <c r="D100" s="11">
        <f t="shared" si="10"/>
        <v>9678347</v>
      </c>
      <c r="E100" s="11">
        <f t="shared" si="11"/>
        <v>9678347</v>
      </c>
      <c r="F100" s="11"/>
      <c r="G100" s="11"/>
      <c r="H100" s="11"/>
      <c r="I100" s="11"/>
      <c r="J100" s="11"/>
      <c r="K100" s="11"/>
      <c r="L100" s="13"/>
      <c r="M100" s="15"/>
      <c r="N100" s="15">
        <v>594</v>
      </c>
      <c r="O100" s="15">
        <v>5015000</v>
      </c>
      <c r="P100" s="11"/>
      <c r="Q100" s="15"/>
      <c r="R100" s="15">
        <v>594</v>
      </c>
      <c r="S100" s="15">
        <v>3918284</v>
      </c>
      <c r="T100" s="15"/>
      <c r="U100" s="15"/>
      <c r="V100" s="15">
        <v>745063</v>
      </c>
    </row>
    <row r="101" spans="1:22" ht="12.75" customHeight="1" x14ac:dyDescent="0.2">
      <c r="A101" s="12">
        <v>82</v>
      </c>
      <c r="B101" s="21" t="s">
        <v>394</v>
      </c>
      <c r="C101" s="11">
        <v>1610.8</v>
      </c>
      <c r="D101" s="11">
        <f t="shared" si="10"/>
        <v>7327915.79</v>
      </c>
      <c r="E101" s="11">
        <f t="shared" si="11"/>
        <v>7327915.79</v>
      </c>
      <c r="F101" s="11"/>
      <c r="G101" s="11"/>
      <c r="H101" s="11"/>
      <c r="I101" s="11"/>
      <c r="J101" s="11"/>
      <c r="K101" s="11"/>
      <c r="L101" s="13"/>
      <c r="M101" s="15"/>
      <c r="N101" s="15">
        <v>689.2</v>
      </c>
      <c r="O101" s="15">
        <f>6892000-158092.21</f>
        <v>6733907.79</v>
      </c>
      <c r="P101" s="11"/>
      <c r="Q101" s="15"/>
      <c r="R101" s="15"/>
      <c r="S101" s="15"/>
      <c r="T101" s="15"/>
      <c r="U101" s="15"/>
      <c r="V101" s="15">
        <v>594008</v>
      </c>
    </row>
    <row r="102" spans="1:22" ht="12.75" customHeight="1" x14ac:dyDescent="0.2">
      <c r="A102" s="12">
        <v>83</v>
      </c>
      <c r="B102" s="21" t="s">
        <v>326</v>
      </c>
      <c r="C102" s="11">
        <v>4060.76</v>
      </c>
      <c r="D102" s="11">
        <f t="shared" si="10"/>
        <v>17286768.210000001</v>
      </c>
      <c r="E102" s="11">
        <f t="shared" si="11"/>
        <v>17286768.210000001</v>
      </c>
      <c r="F102" s="11"/>
      <c r="G102" s="11"/>
      <c r="H102" s="11"/>
      <c r="I102" s="11"/>
      <c r="J102" s="11"/>
      <c r="K102" s="11"/>
      <c r="L102" s="13"/>
      <c r="M102" s="15"/>
      <c r="N102" s="15">
        <v>1587.4</v>
      </c>
      <c r="O102" s="15">
        <f>15874000+158092.21</f>
        <v>16032092.210000001</v>
      </c>
      <c r="P102" s="11"/>
      <c r="Q102" s="15"/>
      <c r="R102" s="15">
        <v>9814</v>
      </c>
      <c r="S102" s="15"/>
      <c r="T102" s="15"/>
      <c r="U102" s="15"/>
      <c r="V102" s="15">
        <v>1254676</v>
      </c>
    </row>
    <row r="103" spans="1:22" ht="12.75" customHeight="1" x14ac:dyDescent="0.2">
      <c r="A103" s="12">
        <v>84</v>
      </c>
      <c r="B103" s="21" t="s">
        <v>164</v>
      </c>
      <c r="C103" s="11">
        <v>11183</v>
      </c>
      <c r="D103" s="11">
        <f t="shared" si="10"/>
        <v>48975674</v>
      </c>
      <c r="E103" s="11">
        <f t="shared" si="11"/>
        <v>48975674</v>
      </c>
      <c r="F103" s="11"/>
      <c r="G103" s="11"/>
      <c r="H103" s="11"/>
      <c r="I103" s="11"/>
      <c r="J103" s="11"/>
      <c r="K103" s="11"/>
      <c r="L103" s="16"/>
      <c r="M103" s="15"/>
      <c r="N103" s="15">
        <v>1050</v>
      </c>
      <c r="O103" s="15">
        <v>5775000</v>
      </c>
      <c r="P103" s="11"/>
      <c r="Q103" s="15"/>
      <c r="R103" s="15">
        <v>6999</v>
      </c>
      <c r="S103" s="15">
        <v>39747974</v>
      </c>
      <c r="T103" s="15"/>
      <c r="U103" s="15"/>
      <c r="V103" s="15">
        <v>3452700</v>
      </c>
    </row>
    <row r="104" spans="1:22" ht="12.75" customHeight="1" x14ac:dyDescent="0.2">
      <c r="A104" s="12">
        <v>85</v>
      </c>
      <c r="B104" s="21" t="s">
        <v>192</v>
      </c>
      <c r="C104" s="11">
        <v>4024.5</v>
      </c>
      <c r="D104" s="11">
        <f t="shared" si="10"/>
        <v>12993480</v>
      </c>
      <c r="E104" s="11">
        <f t="shared" si="11"/>
        <v>12993480</v>
      </c>
      <c r="F104" s="11"/>
      <c r="G104" s="11"/>
      <c r="H104" s="11"/>
      <c r="I104" s="11"/>
      <c r="J104" s="11"/>
      <c r="K104" s="11"/>
      <c r="L104" s="13"/>
      <c r="M104" s="15"/>
      <c r="N104" s="15">
        <v>1202</v>
      </c>
      <c r="O104" s="15">
        <v>12020000</v>
      </c>
      <c r="P104" s="11"/>
      <c r="Q104" s="15"/>
      <c r="R104" s="15">
        <v>3696.55</v>
      </c>
      <c r="S104" s="15"/>
      <c r="T104" s="15"/>
      <c r="U104" s="15"/>
      <c r="V104" s="15">
        <v>973480</v>
      </c>
    </row>
    <row r="105" spans="1:22" ht="12.75" customHeight="1" x14ac:dyDescent="0.2">
      <c r="A105" s="12">
        <v>86</v>
      </c>
      <c r="B105" s="21" t="s">
        <v>87</v>
      </c>
      <c r="C105" s="11">
        <v>7797.9</v>
      </c>
      <c r="D105" s="11">
        <f t="shared" si="10"/>
        <v>9180780</v>
      </c>
      <c r="E105" s="11">
        <f t="shared" si="11"/>
        <v>9180780</v>
      </c>
      <c r="F105" s="11"/>
      <c r="G105" s="11"/>
      <c r="H105" s="11"/>
      <c r="I105" s="11"/>
      <c r="J105" s="11"/>
      <c r="K105" s="11"/>
      <c r="L105" s="16"/>
      <c r="M105" s="15"/>
      <c r="N105" s="15">
        <v>1540</v>
      </c>
      <c r="O105" s="15">
        <v>8470000</v>
      </c>
      <c r="P105" s="11"/>
      <c r="Q105" s="15"/>
      <c r="R105" s="15"/>
      <c r="S105" s="15"/>
      <c r="T105" s="15"/>
      <c r="U105" s="15"/>
      <c r="V105" s="15">
        <v>710780</v>
      </c>
    </row>
    <row r="106" spans="1:22" ht="12.75" customHeight="1" x14ac:dyDescent="0.2">
      <c r="A106" s="12">
        <v>87</v>
      </c>
      <c r="B106" s="21" t="s">
        <v>158</v>
      </c>
      <c r="C106" s="11">
        <v>1620.7</v>
      </c>
      <c r="D106" s="11">
        <f t="shared" si="10"/>
        <v>7372953.2699999996</v>
      </c>
      <c r="E106" s="11">
        <f t="shared" si="11"/>
        <v>7372953.2699999996</v>
      </c>
      <c r="F106" s="11"/>
      <c r="G106" s="11"/>
      <c r="H106" s="11"/>
      <c r="I106" s="11"/>
      <c r="J106" s="11"/>
      <c r="K106" s="11"/>
      <c r="L106" s="13"/>
      <c r="M106" s="15"/>
      <c r="N106" s="15">
        <v>803.04</v>
      </c>
      <c r="O106" s="15">
        <f>7372000-628574.73</f>
        <v>6743425.2699999996</v>
      </c>
      <c r="P106" s="11"/>
      <c r="Q106" s="15"/>
      <c r="R106" s="15"/>
      <c r="S106" s="15"/>
      <c r="T106" s="15"/>
      <c r="U106" s="15"/>
      <c r="V106" s="15">
        <v>629528</v>
      </c>
    </row>
    <row r="107" spans="1:22" ht="12.75" customHeight="1" x14ac:dyDescent="0.2">
      <c r="A107" s="12">
        <v>88</v>
      </c>
      <c r="B107" s="21" t="s">
        <v>90</v>
      </c>
      <c r="C107" s="11">
        <v>1195.8</v>
      </c>
      <c r="D107" s="11">
        <f t="shared" si="10"/>
        <v>10490262</v>
      </c>
      <c r="E107" s="11">
        <f t="shared" si="11"/>
        <v>10490262</v>
      </c>
      <c r="F107" s="11"/>
      <c r="G107" s="11"/>
      <c r="H107" s="11"/>
      <c r="I107" s="11"/>
      <c r="J107" s="11"/>
      <c r="K107" s="11"/>
      <c r="L107" s="13"/>
      <c r="M107" s="15"/>
      <c r="N107" s="15">
        <v>944</v>
      </c>
      <c r="O107" s="15">
        <v>5439000</v>
      </c>
      <c r="P107" s="11"/>
      <c r="Q107" s="15"/>
      <c r="R107" s="15">
        <v>957.86</v>
      </c>
      <c r="S107" s="15">
        <v>4250257</v>
      </c>
      <c r="T107" s="15"/>
      <c r="U107" s="15"/>
      <c r="V107" s="15">
        <v>801005</v>
      </c>
    </row>
    <row r="108" spans="1:22" ht="12.75" customHeight="1" x14ac:dyDescent="0.2">
      <c r="A108" s="12">
        <v>89</v>
      </c>
      <c r="B108" s="21" t="s">
        <v>197</v>
      </c>
      <c r="C108" s="11">
        <v>2862.7</v>
      </c>
      <c r="D108" s="11">
        <f t="shared" si="10"/>
        <v>11324484</v>
      </c>
      <c r="E108" s="11">
        <f t="shared" si="11"/>
        <v>11324484</v>
      </c>
      <c r="F108" s="11"/>
      <c r="G108" s="11"/>
      <c r="H108" s="11"/>
      <c r="I108" s="11"/>
      <c r="J108" s="11"/>
      <c r="K108" s="11"/>
      <c r="L108" s="13"/>
      <c r="M108" s="15"/>
      <c r="N108" s="15">
        <v>1046.5999999999999</v>
      </c>
      <c r="O108" s="15">
        <v>10466000</v>
      </c>
      <c r="P108" s="11"/>
      <c r="Q108" s="15"/>
      <c r="R108" s="15">
        <v>1046.5999999999999</v>
      </c>
      <c r="S108" s="15"/>
      <c r="T108" s="15"/>
      <c r="U108" s="15"/>
      <c r="V108" s="15">
        <v>858484</v>
      </c>
    </row>
    <row r="109" spans="1:22" ht="12.75" customHeight="1" x14ac:dyDescent="0.2">
      <c r="A109" s="12">
        <v>90</v>
      </c>
      <c r="B109" s="21" t="s">
        <v>156</v>
      </c>
      <c r="C109" s="11">
        <v>10125.24</v>
      </c>
      <c r="D109" s="11">
        <f t="shared" si="10"/>
        <v>7227995.7300000004</v>
      </c>
      <c r="E109" s="11">
        <f t="shared" si="11"/>
        <v>7227995.7300000004</v>
      </c>
      <c r="F109" s="11"/>
      <c r="G109" s="11"/>
      <c r="H109" s="11"/>
      <c r="I109" s="11"/>
      <c r="J109" s="11"/>
      <c r="K109" s="11"/>
      <c r="L109" s="16"/>
      <c r="M109" s="15"/>
      <c r="N109" s="15">
        <v>1103</v>
      </c>
      <c r="O109" s="15">
        <f>6066500+628574.73</f>
        <v>6695074.7300000004</v>
      </c>
      <c r="P109" s="11"/>
      <c r="Q109" s="15"/>
      <c r="R109" s="15">
        <v>3451.2</v>
      </c>
      <c r="S109" s="15"/>
      <c r="T109" s="15"/>
      <c r="U109" s="15"/>
      <c r="V109" s="15">
        <v>532921</v>
      </c>
    </row>
    <row r="110" spans="1:22" ht="12.75" customHeight="1" x14ac:dyDescent="0.2">
      <c r="A110" s="12">
        <v>91</v>
      </c>
      <c r="B110" s="21" t="s">
        <v>88</v>
      </c>
      <c r="C110" s="11">
        <v>6971.1</v>
      </c>
      <c r="D110" s="11">
        <f t="shared" si="10"/>
        <v>30998670</v>
      </c>
      <c r="E110" s="11">
        <f t="shared" si="11"/>
        <v>30998670</v>
      </c>
      <c r="F110" s="11"/>
      <c r="G110" s="11"/>
      <c r="H110" s="11"/>
      <c r="I110" s="11"/>
      <c r="J110" s="11"/>
      <c r="K110" s="11"/>
      <c r="L110" s="16"/>
      <c r="M110" s="15"/>
      <c r="N110" s="15" t="s">
        <v>436</v>
      </c>
      <c r="O110" s="15">
        <v>4007080</v>
      </c>
      <c r="P110" s="11"/>
      <c r="Q110" s="15"/>
      <c r="R110" s="15">
        <v>2268.6</v>
      </c>
      <c r="S110" s="15">
        <v>24777529</v>
      </c>
      <c r="T110" s="15"/>
      <c r="U110" s="15"/>
      <c r="V110" s="15">
        <v>2214061</v>
      </c>
    </row>
    <row r="111" spans="1:22" ht="12.75" customHeight="1" x14ac:dyDescent="0.2">
      <c r="A111" s="12">
        <v>92</v>
      </c>
      <c r="B111" s="21" t="s">
        <v>155</v>
      </c>
      <c r="C111" s="11">
        <v>4458.7</v>
      </c>
      <c r="D111" s="11">
        <f t="shared" si="10"/>
        <v>20951903</v>
      </c>
      <c r="E111" s="11">
        <f t="shared" si="11"/>
        <v>20951903</v>
      </c>
      <c r="F111" s="11"/>
      <c r="G111" s="11"/>
      <c r="H111" s="11"/>
      <c r="I111" s="11"/>
      <c r="J111" s="11"/>
      <c r="K111" s="11"/>
      <c r="L111" s="16"/>
      <c r="M111" s="15"/>
      <c r="N111" s="15">
        <v>651.35</v>
      </c>
      <c r="O111" s="15">
        <v>3582425</v>
      </c>
      <c r="P111" s="11"/>
      <c r="Q111" s="15"/>
      <c r="R111" s="15">
        <v>2315.6</v>
      </c>
      <c r="S111" s="15">
        <v>15847652</v>
      </c>
      <c r="T111" s="15"/>
      <c r="U111" s="15"/>
      <c r="V111" s="15">
        <v>1521826</v>
      </c>
    </row>
    <row r="112" spans="1:22" ht="12.75" customHeight="1" x14ac:dyDescent="0.2">
      <c r="A112" s="12">
        <v>93</v>
      </c>
      <c r="B112" s="21" t="s">
        <v>91</v>
      </c>
      <c r="C112" s="11">
        <v>803</v>
      </c>
      <c r="D112" s="11">
        <f t="shared" si="10"/>
        <v>3149325</v>
      </c>
      <c r="E112" s="11">
        <f t="shared" si="11"/>
        <v>3149325</v>
      </c>
      <c r="F112" s="11"/>
      <c r="G112" s="11"/>
      <c r="H112" s="11"/>
      <c r="I112" s="11"/>
      <c r="J112" s="11"/>
      <c r="K112" s="11"/>
      <c r="L112" s="13"/>
      <c r="M112" s="15"/>
      <c r="N112" s="15"/>
      <c r="O112" s="15"/>
      <c r="P112" s="11"/>
      <c r="Q112" s="15"/>
      <c r="R112" s="15">
        <v>908.45</v>
      </c>
      <c r="S112" s="15">
        <v>2854120</v>
      </c>
      <c r="T112" s="15"/>
      <c r="U112" s="15"/>
      <c r="V112" s="15">
        <v>295205</v>
      </c>
    </row>
    <row r="113" spans="1:22" ht="12.75" customHeight="1" x14ac:dyDescent="0.2">
      <c r="A113" s="12">
        <v>94</v>
      </c>
      <c r="B113" s="21" t="s">
        <v>438</v>
      </c>
      <c r="C113" s="11">
        <v>4091.5</v>
      </c>
      <c r="D113" s="11">
        <f t="shared" si="10"/>
        <v>5267038</v>
      </c>
      <c r="E113" s="11">
        <f t="shared" si="11"/>
        <v>5267038</v>
      </c>
      <c r="F113" s="11"/>
      <c r="G113" s="11"/>
      <c r="H113" s="11"/>
      <c r="I113" s="11"/>
      <c r="J113" s="11"/>
      <c r="K113" s="11"/>
      <c r="L113" s="16"/>
      <c r="M113" s="15"/>
      <c r="N113" s="15">
        <v>877.44</v>
      </c>
      <c r="O113" s="15">
        <v>4825920</v>
      </c>
      <c r="P113" s="11"/>
      <c r="Q113" s="15"/>
      <c r="R113" s="15"/>
      <c r="S113" s="15"/>
      <c r="T113" s="15"/>
      <c r="U113" s="15"/>
      <c r="V113" s="15">
        <v>441118</v>
      </c>
    </row>
    <row r="114" spans="1:22" ht="12.75" customHeight="1" x14ac:dyDescent="0.2">
      <c r="A114" s="12">
        <v>95</v>
      </c>
      <c r="B114" s="21" t="s">
        <v>441</v>
      </c>
      <c r="C114" s="11">
        <v>4176.3999999999996</v>
      </c>
      <c r="D114" s="11">
        <f t="shared" si="10"/>
        <v>7628066</v>
      </c>
      <c r="E114" s="11">
        <f t="shared" si="11"/>
        <v>7628066</v>
      </c>
      <c r="F114" s="11"/>
      <c r="G114" s="11"/>
      <c r="H114" s="11"/>
      <c r="I114" s="11"/>
      <c r="J114" s="11"/>
      <c r="K114" s="11"/>
      <c r="L114" s="13"/>
      <c r="M114" s="15"/>
      <c r="N114" s="15">
        <v>1277.1400000000001</v>
      </c>
      <c r="O114" s="15">
        <v>7024270</v>
      </c>
      <c r="P114" s="11"/>
      <c r="Q114" s="15"/>
      <c r="R114" s="15">
        <v>3416</v>
      </c>
      <c r="S114" s="15"/>
      <c r="T114" s="15"/>
      <c r="U114" s="15"/>
      <c r="V114" s="15">
        <v>603796</v>
      </c>
    </row>
    <row r="115" spans="1:22" ht="12.75" customHeight="1" x14ac:dyDescent="0.2">
      <c r="A115" s="12">
        <v>96</v>
      </c>
      <c r="B115" s="21" t="s">
        <v>442</v>
      </c>
      <c r="C115" s="11">
        <v>4115.8</v>
      </c>
      <c r="D115" s="11">
        <f t="shared" si="10"/>
        <v>14386098.09</v>
      </c>
      <c r="E115" s="11">
        <f t="shared" si="11"/>
        <v>14386098.09</v>
      </c>
      <c r="F115" s="11"/>
      <c r="G115" s="11"/>
      <c r="H115" s="11"/>
      <c r="I115" s="11"/>
      <c r="J115" s="11"/>
      <c r="K115" s="11"/>
      <c r="L115" s="13"/>
      <c r="M115" s="15"/>
      <c r="N115" s="15">
        <v>1258.6099999999999</v>
      </c>
      <c r="O115" s="15">
        <f>12586100+784627.09</f>
        <v>13370727.09</v>
      </c>
      <c r="P115" s="11"/>
      <c r="Q115" s="15"/>
      <c r="R115" s="15">
        <v>4055.4</v>
      </c>
      <c r="S115" s="15"/>
      <c r="T115" s="15"/>
      <c r="U115" s="15"/>
      <c r="V115" s="15">
        <v>1015371</v>
      </c>
    </row>
    <row r="116" spans="1:22" ht="12.75" customHeight="1" x14ac:dyDescent="0.2">
      <c r="A116" s="12">
        <v>97</v>
      </c>
      <c r="B116" s="21" t="s">
        <v>89</v>
      </c>
      <c r="C116" s="11">
        <v>2081.6999999999998</v>
      </c>
      <c r="D116" s="11">
        <f t="shared" si="10"/>
        <v>9470152.9100000001</v>
      </c>
      <c r="E116" s="11">
        <f t="shared" si="11"/>
        <v>9470152.9100000001</v>
      </c>
      <c r="F116" s="11"/>
      <c r="G116" s="11"/>
      <c r="H116" s="11"/>
      <c r="I116" s="11"/>
      <c r="J116" s="11"/>
      <c r="K116" s="11"/>
      <c r="L116" s="13"/>
      <c r="M116" s="15"/>
      <c r="N116" s="15">
        <v>1900</v>
      </c>
      <c r="O116" s="15">
        <f>9470000-784627.09</f>
        <v>8685372.9100000001</v>
      </c>
      <c r="P116" s="11"/>
      <c r="Q116" s="15"/>
      <c r="R116" s="15"/>
      <c r="S116" s="15"/>
      <c r="T116" s="15"/>
      <c r="U116" s="15"/>
      <c r="V116" s="15">
        <v>784780</v>
      </c>
    </row>
    <row r="117" spans="1:22" ht="12.75" customHeight="1" x14ac:dyDescent="0.2">
      <c r="A117" s="19" t="s">
        <v>27</v>
      </c>
      <c r="B117" s="20"/>
      <c r="C117" s="17"/>
      <c r="D117" s="11"/>
      <c r="E117" s="11"/>
      <c r="F117" s="17"/>
      <c r="G117" s="17"/>
      <c r="H117" s="17"/>
      <c r="I117" s="17"/>
      <c r="J117" s="17"/>
      <c r="K117" s="17"/>
      <c r="L117" s="18"/>
      <c r="M117" s="17"/>
      <c r="N117" s="17"/>
      <c r="O117" s="17"/>
      <c r="P117" s="17"/>
      <c r="Q117" s="17"/>
      <c r="R117" s="17"/>
      <c r="S117" s="17"/>
      <c r="T117" s="17"/>
      <c r="U117" s="17"/>
      <c r="V117" s="15"/>
    </row>
    <row r="118" spans="1:22" ht="12.75" customHeight="1" x14ac:dyDescent="0.2">
      <c r="A118" s="12">
        <v>98</v>
      </c>
      <c r="B118" s="25" t="s">
        <v>310</v>
      </c>
      <c r="C118" s="11">
        <v>3826.8</v>
      </c>
      <c r="D118" s="11">
        <f t="shared" ref="D118:D120" si="12">F118+G118+H118+I118+J118+K118+M118+O118+Q118+S118+U118+V118</f>
        <v>3520000</v>
      </c>
      <c r="E118" s="11">
        <f>D118</f>
        <v>3520000</v>
      </c>
      <c r="F118" s="11"/>
      <c r="G118" s="11"/>
      <c r="H118" s="11"/>
      <c r="I118" s="11"/>
      <c r="J118" s="11">
        <v>2900000</v>
      </c>
      <c r="K118" s="11"/>
      <c r="L118" s="13"/>
      <c r="M118" s="15"/>
      <c r="N118" s="15"/>
      <c r="O118" s="15"/>
      <c r="P118" s="11"/>
      <c r="Q118" s="15"/>
      <c r="R118" s="15"/>
      <c r="S118" s="15"/>
      <c r="T118" s="15"/>
      <c r="U118" s="15"/>
      <c r="V118" s="15">
        <v>620000</v>
      </c>
    </row>
    <row r="119" spans="1:22" ht="12.75" customHeight="1" x14ac:dyDescent="0.2">
      <c r="A119" s="12">
        <v>99</v>
      </c>
      <c r="B119" s="25" t="s">
        <v>311</v>
      </c>
      <c r="C119" s="11">
        <v>4637.3</v>
      </c>
      <c r="D119" s="11">
        <f t="shared" si="12"/>
        <v>3220000</v>
      </c>
      <c r="E119" s="11">
        <f>D119</f>
        <v>3220000</v>
      </c>
      <c r="F119" s="11"/>
      <c r="G119" s="11">
        <v>1000000</v>
      </c>
      <c r="H119" s="11"/>
      <c r="I119" s="11"/>
      <c r="J119" s="11">
        <v>1600000</v>
      </c>
      <c r="K119" s="11"/>
      <c r="L119" s="13"/>
      <c r="M119" s="15"/>
      <c r="N119" s="15"/>
      <c r="O119" s="15"/>
      <c r="P119" s="11"/>
      <c r="Q119" s="15"/>
      <c r="R119" s="15"/>
      <c r="S119" s="15"/>
      <c r="T119" s="15"/>
      <c r="U119" s="15"/>
      <c r="V119" s="15">
        <v>620000</v>
      </c>
    </row>
    <row r="120" spans="1:22" ht="12.75" customHeight="1" x14ac:dyDescent="0.2">
      <c r="A120" s="12">
        <v>100</v>
      </c>
      <c r="B120" s="25" t="s">
        <v>312</v>
      </c>
      <c r="C120" s="11">
        <v>757</v>
      </c>
      <c r="D120" s="11">
        <f t="shared" si="12"/>
        <v>6655430</v>
      </c>
      <c r="E120" s="11">
        <f>D120</f>
        <v>6655430</v>
      </c>
      <c r="F120" s="11"/>
      <c r="G120" s="11"/>
      <c r="H120" s="11"/>
      <c r="I120" s="11"/>
      <c r="J120" s="11">
        <v>2532000</v>
      </c>
      <c r="K120" s="11"/>
      <c r="L120" s="13"/>
      <c r="M120" s="15"/>
      <c r="N120" s="15">
        <v>630</v>
      </c>
      <c r="O120" s="15">
        <f>5975430-2532000</f>
        <v>3443430</v>
      </c>
      <c r="P120" s="11"/>
      <c r="Q120" s="15"/>
      <c r="R120" s="15"/>
      <c r="S120" s="15"/>
      <c r="T120" s="15"/>
      <c r="U120" s="15"/>
      <c r="V120" s="15">
        <v>680000</v>
      </c>
    </row>
    <row r="121" spans="1:22" ht="12.75" customHeight="1" x14ac:dyDescent="0.2">
      <c r="A121" s="19" t="s">
        <v>28</v>
      </c>
      <c r="B121" s="20"/>
      <c r="C121" s="17"/>
      <c r="D121" s="11"/>
      <c r="E121" s="11"/>
      <c r="F121" s="17"/>
      <c r="G121" s="17"/>
      <c r="H121" s="17"/>
      <c r="I121" s="17"/>
      <c r="J121" s="17"/>
      <c r="K121" s="17"/>
      <c r="L121" s="18"/>
      <c r="M121" s="17"/>
      <c r="N121" s="17"/>
      <c r="O121" s="17"/>
      <c r="P121" s="17"/>
      <c r="Q121" s="17"/>
      <c r="R121" s="17"/>
      <c r="S121" s="17"/>
      <c r="T121" s="17"/>
      <c r="U121" s="17"/>
      <c r="V121" s="15"/>
    </row>
    <row r="122" spans="1:22" ht="12.75" customHeight="1" x14ac:dyDescent="0.2">
      <c r="A122" s="12">
        <v>101</v>
      </c>
      <c r="B122" s="21" t="s">
        <v>2</v>
      </c>
      <c r="C122" s="11">
        <v>5092.24</v>
      </c>
      <c r="D122" s="11">
        <f t="shared" ref="D122:D152" si="13">F122+G122+H122+I122+J122+K122+M122+O122+Q122+S122+U122+V122</f>
        <v>12752035</v>
      </c>
      <c r="E122" s="11">
        <f>D122</f>
        <v>12752035</v>
      </c>
      <c r="F122" s="15"/>
      <c r="G122" s="15"/>
      <c r="H122" s="15"/>
      <c r="I122" s="15"/>
      <c r="J122" s="15"/>
      <c r="K122" s="15"/>
      <c r="L122" s="16"/>
      <c r="M122" s="15"/>
      <c r="N122" s="11">
        <v>1508</v>
      </c>
      <c r="O122" s="26">
        <v>11699115</v>
      </c>
      <c r="P122" s="15"/>
      <c r="Q122" s="15"/>
      <c r="R122" s="15"/>
      <c r="S122" s="15"/>
      <c r="T122" s="15"/>
      <c r="U122" s="15"/>
      <c r="V122" s="15">
        <v>1052920</v>
      </c>
    </row>
    <row r="123" spans="1:22" ht="12.75" customHeight="1" x14ac:dyDescent="0.2">
      <c r="A123" s="12">
        <v>102</v>
      </c>
      <c r="B123" s="21" t="s">
        <v>357</v>
      </c>
      <c r="C123" s="11">
        <v>3693</v>
      </c>
      <c r="D123" s="11">
        <f t="shared" si="13"/>
        <v>14561148</v>
      </c>
      <c r="E123" s="11">
        <f t="shared" ref="E123:E152" si="14">D123</f>
        <v>14561148</v>
      </c>
      <c r="F123" s="15"/>
      <c r="G123" s="15"/>
      <c r="H123" s="15"/>
      <c r="I123" s="15"/>
      <c r="J123" s="15"/>
      <c r="K123" s="15"/>
      <c r="L123" s="16"/>
      <c r="M123" s="15"/>
      <c r="N123" s="11">
        <v>1190</v>
      </c>
      <c r="O123" s="26">
        <v>13267115</v>
      </c>
      <c r="P123" s="15"/>
      <c r="Q123" s="15"/>
      <c r="R123" s="15"/>
      <c r="S123" s="15"/>
      <c r="T123" s="15"/>
      <c r="U123" s="15"/>
      <c r="V123" s="15">
        <v>1294033</v>
      </c>
    </row>
    <row r="124" spans="1:22" ht="12.75" customHeight="1" x14ac:dyDescent="0.2">
      <c r="A124" s="12">
        <v>103</v>
      </c>
      <c r="B124" s="21" t="s">
        <v>358</v>
      </c>
      <c r="C124" s="11">
        <v>3355</v>
      </c>
      <c r="D124" s="11">
        <f t="shared" si="13"/>
        <v>11431791</v>
      </c>
      <c r="E124" s="11">
        <f t="shared" si="14"/>
        <v>11431791</v>
      </c>
      <c r="F124" s="15"/>
      <c r="G124" s="15"/>
      <c r="H124" s="15"/>
      <c r="I124" s="15"/>
      <c r="J124" s="15"/>
      <c r="K124" s="15"/>
      <c r="L124" s="16"/>
      <c r="M124" s="15"/>
      <c r="N124" s="11">
        <v>751</v>
      </c>
      <c r="O124" s="26">
        <v>10487881</v>
      </c>
      <c r="P124" s="15"/>
      <c r="Q124" s="15"/>
      <c r="R124" s="15"/>
      <c r="S124" s="15"/>
      <c r="T124" s="15"/>
      <c r="U124" s="15"/>
      <c r="V124" s="15">
        <v>943910</v>
      </c>
    </row>
    <row r="125" spans="1:22" ht="12.75" customHeight="1" x14ac:dyDescent="0.2">
      <c r="A125" s="12">
        <v>104</v>
      </c>
      <c r="B125" s="21" t="s">
        <v>359</v>
      </c>
      <c r="C125" s="11">
        <v>3402</v>
      </c>
      <c r="D125" s="11">
        <f t="shared" si="13"/>
        <v>11431791</v>
      </c>
      <c r="E125" s="11">
        <f t="shared" si="14"/>
        <v>11431791</v>
      </c>
      <c r="F125" s="15"/>
      <c r="G125" s="15"/>
      <c r="H125" s="15"/>
      <c r="I125" s="15"/>
      <c r="J125" s="15"/>
      <c r="K125" s="15"/>
      <c r="L125" s="16"/>
      <c r="M125" s="15"/>
      <c r="N125" s="11">
        <v>750</v>
      </c>
      <c r="O125" s="26">
        <v>10487881</v>
      </c>
      <c r="P125" s="15"/>
      <c r="Q125" s="15"/>
      <c r="R125" s="15"/>
      <c r="S125" s="15"/>
      <c r="T125" s="15"/>
      <c r="U125" s="15"/>
      <c r="V125" s="15">
        <v>943910</v>
      </c>
    </row>
    <row r="126" spans="1:22" ht="12.75" customHeight="1" x14ac:dyDescent="0.2">
      <c r="A126" s="12">
        <v>105</v>
      </c>
      <c r="B126" s="21" t="s">
        <v>360</v>
      </c>
      <c r="C126" s="11">
        <v>3328</v>
      </c>
      <c r="D126" s="11">
        <f t="shared" si="13"/>
        <v>12114385</v>
      </c>
      <c r="E126" s="11">
        <f t="shared" si="14"/>
        <v>12114385</v>
      </c>
      <c r="F126" s="15"/>
      <c r="G126" s="15"/>
      <c r="H126" s="15"/>
      <c r="I126" s="15"/>
      <c r="J126" s="15"/>
      <c r="K126" s="15"/>
      <c r="L126" s="16"/>
      <c r="M126" s="15"/>
      <c r="N126" s="11"/>
      <c r="O126" s="26"/>
      <c r="P126" s="15"/>
      <c r="Q126" s="15"/>
      <c r="R126" s="15">
        <v>1230</v>
      </c>
      <c r="S126" s="15">
        <v>11014115</v>
      </c>
      <c r="T126" s="15"/>
      <c r="U126" s="15"/>
      <c r="V126" s="15">
        <v>1100270</v>
      </c>
    </row>
    <row r="127" spans="1:22" ht="12.75" customHeight="1" x14ac:dyDescent="0.2">
      <c r="A127" s="12">
        <v>106</v>
      </c>
      <c r="B127" s="21" t="s">
        <v>429</v>
      </c>
      <c r="C127" s="11">
        <v>3067</v>
      </c>
      <c r="D127" s="11">
        <f t="shared" si="13"/>
        <v>12911246</v>
      </c>
      <c r="E127" s="11">
        <f t="shared" si="14"/>
        <v>12911246</v>
      </c>
      <c r="F127" s="15"/>
      <c r="G127" s="15"/>
      <c r="H127" s="15"/>
      <c r="I127" s="15"/>
      <c r="J127" s="15"/>
      <c r="K127" s="15"/>
      <c r="L127" s="16"/>
      <c r="M127" s="15"/>
      <c r="N127" s="11">
        <v>608</v>
      </c>
      <c r="O127" s="26">
        <f>12029456-50000</f>
        <v>11979456</v>
      </c>
      <c r="P127" s="15"/>
      <c r="Q127" s="15"/>
      <c r="R127" s="15"/>
      <c r="S127" s="15"/>
      <c r="T127" s="15"/>
      <c r="U127" s="15"/>
      <c r="V127" s="15">
        <v>931790</v>
      </c>
    </row>
    <row r="128" spans="1:22" ht="12.75" customHeight="1" x14ac:dyDescent="0.2">
      <c r="A128" s="12">
        <v>107</v>
      </c>
      <c r="B128" s="21" t="s">
        <v>361</v>
      </c>
      <c r="C128" s="11">
        <v>3257</v>
      </c>
      <c r="D128" s="11">
        <f t="shared" si="13"/>
        <v>13008391</v>
      </c>
      <c r="E128" s="11">
        <f t="shared" si="14"/>
        <v>13008391</v>
      </c>
      <c r="F128" s="15"/>
      <c r="G128" s="15"/>
      <c r="H128" s="15"/>
      <c r="I128" s="15"/>
      <c r="J128" s="15"/>
      <c r="K128" s="15"/>
      <c r="L128" s="16"/>
      <c r="M128" s="15"/>
      <c r="N128" s="11">
        <v>752</v>
      </c>
      <c r="O128" s="26">
        <f>11867881-50000</f>
        <v>11817881</v>
      </c>
      <c r="P128" s="15"/>
      <c r="Q128" s="15"/>
      <c r="R128" s="15"/>
      <c r="S128" s="15"/>
      <c r="T128" s="15"/>
      <c r="U128" s="15"/>
      <c r="V128" s="15">
        <v>1190510</v>
      </c>
    </row>
    <row r="129" spans="1:22" ht="12.75" customHeight="1" x14ac:dyDescent="0.2">
      <c r="A129" s="12">
        <v>108</v>
      </c>
      <c r="B129" s="21" t="s">
        <v>362</v>
      </c>
      <c r="C129" s="11">
        <v>5240</v>
      </c>
      <c r="D129" s="11">
        <f t="shared" si="13"/>
        <v>16100691</v>
      </c>
      <c r="E129" s="11">
        <f t="shared" si="14"/>
        <v>16100691</v>
      </c>
      <c r="F129" s="15"/>
      <c r="G129" s="15"/>
      <c r="H129" s="15"/>
      <c r="I129" s="15"/>
      <c r="J129" s="15"/>
      <c r="K129" s="15"/>
      <c r="L129" s="16"/>
      <c r="M129" s="15"/>
      <c r="N129" s="11">
        <v>1154</v>
      </c>
      <c r="O129" s="26">
        <f>14757881-113000</f>
        <v>14644881</v>
      </c>
      <c r="P129" s="15"/>
      <c r="Q129" s="15"/>
      <c r="R129" s="15"/>
      <c r="S129" s="15"/>
      <c r="T129" s="15"/>
      <c r="U129" s="15"/>
      <c r="V129" s="15">
        <v>1455810</v>
      </c>
    </row>
    <row r="130" spans="1:22" ht="12.75" customHeight="1" x14ac:dyDescent="0.2">
      <c r="A130" s="12">
        <v>109</v>
      </c>
      <c r="B130" s="21" t="s">
        <v>363</v>
      </c>
      <c r="C130" s="11">
        <v>4913</v>
      </c>
      <c r="D130" s="11">
        <f t="shared" si="13"/>
        <v>16100691</v>
      </c>
      <c r="E130" s="11">
        <f t="shared" si="14"/>
        <v>16100691</v>
      </c>
      <c r="F130" s="15"/>
      <c r="G130" s="15"/>
      <c r="H130" s="15"/>
      <c r="I130" s="15"/>
      <c r="J130" s="15"/>
      <c r="K130" s="15"/>
      <c r="L130" s="16"/>
      <c r="M130" s="15"/>
      <c r="N130" s="11">
        <v>1143</v>
      </c>
      <c r="O130" s="26">
        <f>14757881-113000</f>
        <v>14644881</v>
      </c>
      <c r="P130" s="15"/>
      <c r="Q130" s="15"/>
      <c r="R130" s="15"/>
      <c r="S130" s="15"/>
      <c r="T130" s="15"/>
      <c r="U130" s="15"/>
      <c r="V130" s="15">
        <v>1455810</v>
      </c>
    </row>
    <row r="131" spans="1:22" ht="12.75" customHeight="1" x14ac:dyDescent="0.2">
      <c r="A131" s="12">
        <v>110</v>
      </c>
      <c r="B131" s="21" t="s">
        <v>353</v>
      </c>
      <c r="C131" s="11">
        <v>2383.4</v>
      </c>
      <c r="D131" s="11">
        <f t="shared" si="13"/>
        <v>7928505</v>
      </c>
      <c r="E131" s="11">
        <f t="shared" si="14"/>
        <v>7928505</v>
      </c>
      <c r="F131" s="15"/>
      <c r="G131" s="15"/>
      <c r="H131" s="15"/>
      <c r="I131" s="15"/>
      <c r="J131" s="15"/>
      <c r="K131" s="15"/>
      <c r="L131" s="16"/>
      <c r="M131" s="15"/>
      <c r="N131" s="11">
        <v>781</v>
      </c>
      <c r="O131" s="26">
        <v>7182115</v>
      </c>
      <c r="P131" s="15"/>
      <c r="Q131" s="15"/>
      <c r="R131" s="15"/>
      <c r="S131" s="15"/>
      <c r="T131" s="15"/>
      <c r="U131" s="15"/>
      <c r="V131" s="15">
        <v>746390</v>
      </c>
    </row>
    <row r="132" spans="1:22" ht="12.75" customHeight="1" x14ac:dyDescent="0.2">
      <c r="A132" s="12">
        <v>111</v>
      </c>
      <c r="B132" s="21" t="s">
        <v>354</v>
      </c>
      <c r="C132" s="11">
        <v>2965</v>
      </c>
      <c r="D132" s="11">
        <f t="shared" si="13"/>
        <v>9256125</v>
      </c>
      <c r="E132" s="11">
        <f t="shared" si="14"/>
        <v>9256125</v>
      </c>
      <c r="F132" s="15"/>
      <c r="G132" s="15"/>
      <c r="H132" s="15"/>
      <c r="I132" s="15"/>
      <c r="J132" s="15"/>
      <c r="K132" s="15"/>
      <c r="L132" s="16"/>
      <c r="M132" s="15"/>
      <c r="N132" s="11">
        <v>722</v>
      </c>
      <c r="O132" s="26">
        <v>8400115</v>
      </c>
      <c r="P132" s="15"/>
      <c r="Q132" s="15"/>
      <c r="R132" s="15"/>
      <c r="S132" s="15"/>
      <c r="T132" s="15"/>
      <c r="U132" s="15"/>
      <c r="V132" s="15">
        <v>856010</v>
      </c>
    </row>
    <row r="133" spans="1:22" ht="12.75" customHeight="1" x14ac:dyDescent="0.2">
      <c r="A133" s="12">
        <v>112</v>
      </c>
      <c r="B133" s="21" t="s">
        <v>355</v>
      </c>
      <c r="C133" s="11">
        <v>2042</v>
      </c>
      <c r="D133" s="11">
        <f t="shared" si="13"/>
        <v>8453631</v>
      </c>
      <c r="E133" s="11">
        <f t="shared" si="14"/>
        <v>8453631</v>
      </c>
      <c r="F133" s="15"/>
      <c r="G133" s="15"/>
      <c r="H133" s="15"/>
      <c r="I133" s="15"/>
      <c r="J133" s="15"/>
      <c r="K133" s="15"/>
      <c r="L133" s="16"/>
      <c r="M133" s="15"/>
      <c r="N133" s="11">
        <v>718</v>
      </c>
      <c r="O133" s="26">
        <v>7663881</v>
      </c>
      <c r="P133" s="15"/>
      <c r="Q133" s="15"/>
      <c r="R133" s="15"/>
      <c r="S133" s="15"/>
      <c r="T133" s="15"/>
      <c r="U133" s="15"/>
      <c r="V133" s="15">
        <v>789750</v>
      </c>
    </row>
    <row r="134" spans="1:22" ht="12.75" customHeight="1" x14ac:dyDescent="0.2">
      <c r="A134" s="12">
        <v>113</v>
      </c>
      <c r="B134" s="21" t="s">
        <v>356</v>
      </c>
      <c r="C134" s="11">
        <v>1154.4000000000001</v>
      </c>
      <c r="D134" s="11">
        <f t="shared" si="13"/>
        <v>7928505</v>
      </c>
      <c r="E134" s="11">
        <f t="shared" si="14"/>
        <v>7928505</v>
      </c>
      <c r="F134" s="15"/>
      <c r="G134" s="15"/>
      <c r="H134" s="15"/>
      <c r="I134" s="15"/>
      <c r="J134" s="15"/>
      <c r="K134" s="15"/>
      <c r="L134" s="16"/>
      <c r="M134" s="15"/>
      <c r="N134" s="11">
        <v>622</v>
      </c>
      <c r="O134" s="26">
        <f>5682115-450000</f>
        <v>5232115</v>
      </c>
      <c r="P134" s="15"/>
      <c r="Q134" s="15"/>
      <c r="R134" s="15"/>
      <c r="S134" s="15"/>
      <c r="T134" s="15">
        <v>250</v>
      </c>
      <c r="U134" s="15">
        <f>1500000+450000</f>
        <v>1950000</v>
      </c>
      <c r="V134" s="15">
        <v>746390</v>
      </c>
    </row>
    <row r="135" spans="1:22" ht="12.75" customHeight="1" x14ac:dyDescent="0.2">
      <c r="A135" s="12">
        <v>114</v>
      </c>
      <c r="B135" s="21" t="s">
        <v>364</v>
      </c>
      <c r="C135" s="11">
        <v>7769</v>
      </c>
      <c r="D135" s="11">
        <f t="shared" si="13"/>
        <v>15000000</v>
      </c>
      <c r="E135" s="11">
        <f t="shared" si="14"/>
        <v>15000000</v>
      </c>
      <c r="F135" s="11"/>
      <c r="G135" s="11"/>
      <c r="H135" s="11"/>
      <c r="I135" s="11"/>
      <c r="J135" s="11"/>
      <c r="K135" s="11"/>
      <c r="L135" s="13">
        <v>3</v>
      </c>
      <c r="M135" s="15">
        <v>14250000</v>
      </c>
      <c r="N135" s="15"/>
      <c r="O135" s="15"/>
      <c r="P135" s="15"/>
      <c r="Q135" s="15"/>
      <c r="R135" s="15"/>
      <c r="S135" s="15"/>
      <c r="T135" s="15"/>
      <c r="U135" s="15"/>
      <c r="V135" s="15">
        <v>750000</v>
      </c>
    </row>
    <row r="136" spans="1:22" ht="12.75" customHeight="1" x14ac:dyDescent="0.2">
      <c r="A136" s="12">
        <v>115</v>
      </c>
      <c r="B136" s="21" t="s">
        <v>8</v>
      </c>
      <c r="C136" s="11">
        <v>3940.22</v>
      </c>
      <c r="D136" s="11">
        <f t="shared" si="13"/>
        <v>62256519</v>
      </c>
      <c r="E136" s="11">
        <f t="shared" si="14"/>
        <v>62256519</v>
      </c>
      <c r="F136" s="26">
        <v>4500000</v>
      </c>
      <c r="G136" s="26">
        <v>5000000</v>
      </c>
      <c r="H136" s="15"/>
      <c r="I136" s="15"/>
      <c r="J136" s="26">
        <v>3000000</v>
      </c>
      <c r="K136" s="26">
        <v>3000000</v>
      </c>
      <c r="L136" s="16"/>
      <c r="M136" s="15"/>
      <c r="N136" s="26">
        <v>748</v>
      </c>
      <c r="O136" s="26">
        <f>8976000-125000</f>
        <v>8851000</v>
      </c>
      <c r="P136" s="26">
        <v>496</v>
      </c>
      <c r="Q136" s="15">
        <f>14027550-3000000-1500000</f>
        <v>9527550</v>
      </c>
      <c r="R136" s="26">
        <v>1915.2</v>
      </c>
      <c r="S136" s="26">
        <f>23400000-8800000</f>
        <v>14600000</v>
      </c>
      <c r="T136" s="15">
        <v>450</v>
      </c>
      <c r="U136" s="15">
        <f>8800000-93000</f>
        <v>8707000</v>
      </c>
      <c r="V136" s="15">
        <v>5070969</v>
      </c>
    </row>
    <row r="137" spans="1:22" ht="12.75" customHeight="1" x14ac:dyDescent="0.2">
      <c r="A137" s="12">
        <v>116</v>
      </c>
      <c r="B137" s="21" t="s">
        <v>30</v>
      </c>
      <c r="C137" s="11">
        <v>4281.3500000000004</v>
      </c>
      <c r="D137" s="11">
        <f t="shared" si="13"/>
        <v>86799218</v>
      </c>
      <c r="E137" s="11">
        <f t="shared" si="14"/>
        <v>86799218</v>
      </c>
      <c r="F137" s="15">
        <v>5000000</v>
      </c>
      <c r="G137" s="15">
        <v>7000000</v>
      </c>
      <c r="H137" s="15"/>
      <c r="I137" s="15"/>
      <c r="J137" s="26">
        <v>3000000</v>
      </c>
      <c r="K137" s="26">
        <v>3000000</v>
      </c>
      <c r="L137" s="16"/>
      <c r="M137" s="15"/>
      <c r="N137" s="15">
        <v>578</v>
      </c>
      <c r="O137" s="15">
        <f>7590000+11500000</f>
        <v>19090000</v>
      </c>
      <c r="P137" s="15">
        <v>496</v>
      </c>
      <c r="Q137" s="15">
        <f>14027551+5300000</f>
        <v>19327551</v>
      </c>
      <c r="R137" s="15">
        <v>2990.1</v>
      </c>
      <c r="S137" s="15">
        <f>44912730-11500000-5300000-4000000-4700000</f>
        <v>19412730</v>
      </c>
      <c r="T137" s="15">
        <v>350</v>
      </c>
      <c r="U137" s="15">
        <v>4700000</v>
      </c>
      <c r="V137" s="15">
        <v>6268937</v>
      </c>
    </row>
    <row r="138" spans="1:22" ht="12.75" customHeight="1" x14ac:dyDescent="0.2">
      <c r="A138" s="12">
        <v>117</v>
      </c>
      <c r="B138" s="21" t="s">
        <v>34</v>
      </c>
      <c r="C138" s="11">
        <v>5076.03</v>
      </c>
      <c r="D138" s="11">
        <f t="shared" si="13"/>
        <v>94081174</v>
      </c>
      <c r="E138" s="11">
        <f t="shared" si="14"/>
        <v>94081174</v>
      </c>
      <c r="F138" s="15">
        <v>5500000</v>
      </c>
      <c r="G138" s="15">
        <v>7000000</v>
      </c>
      <c r="H138" s="15"/>
      <c r="I138" s="15"/>
      <c r="J138" s="15">
        <v>4900000</v>
      </c>
      <c r="K138" s="15">
        <v>2050000</v>
      </c>
      <c r="L138" s="16"/>
      <c r="M138" s="15"/>
      <c r="N138" s="15">
        <v>1099.8</v>
      </c>
      <c r="O138" s="15">
        <f>12757600+10000000</f>
        <v>22757600</v>
      </c>
      <c r="P138" s="15">
        <v>595</v>
      </c>
      <c r="Q138" s="15">
        <v>19179104</v>
      </c>
      <c r="R138" s="15">
        <v>2409.33</v>
      </c>
      <c r="S138" s="15">
        <f>27121390-4100000-108000</f>
        <v>22913390</v>
      </c>
      <c r="T138" s="15">
        <v>350</v>
      </c>
      <c r="U138" s="15">
        <v>4100000</v>
      </c>
      <c r="V138" s="15">
        <v>5681080</v>
      </c>
    </row>
    <row r="139" spans="1:22" ht="12.75" customHeight="1" x14ac:dyDescent="0.2">
      <c r="A139" s="12">
        <v>118</v>
      </c>
      <c r="B139" s="21" t="s">
        <v>29</v>
      </c>
      <c r="C139" s="11">
        <v>4395.75</v>
      </c>
      <c r="D139" s="11">
        <f t="shared" si="13"/>
        <v>87005159</v>
      </c>
      <c r="E139" s="11">
        <f t="shared" si="14"/>
        <v>87005159</v>
      </c>
      <c r="F139" s="15">
        <v>5000000</v>
      </c>
      <c r="G139" s="15">
        <v>7000000</v>
      </c>
      <c r="H139" s="15"/>
      <c r="I139" s="15"/>
      <c r="J139" s="15">
        <v>4000000</v>
      </c>
      <c r="K139" s="15">
        <v>4000000</v>
      </c>
      <c r="L139" s="16"/>
      <c r="M139" s="15"/>
      <c r="N139" s="15">
        <v>672</v>
      </c>
      <c r="O139" s="15">
        <f>7590000+12000000</f>
        <v>19590000</v>
      </c>
      <c r="P139" s="15">
        <v>496</v>
      </c>
      <c r="Q139" s="15">
        <f>14172487+5000000</f>
        <v>19172487</v>
      </c>
      <c r="R139" s="15">
        <v>2990.1</v>
      </c>
      <c r="S139" s="15">
        <f>44912735-6000000-5000000-12000000-2000000</f>
        <v>19912735</v>
      </c>
      <c r="T139" s="15">
        <v>250</v>
      </c>
      <c r="U139" s="15">
        <v>2000000</v>
      </c>
      <c r="V139" s="15">
        <v>6329937</v>
      </c>
    </row>
    <row r="140" spans="1:22" ht="12.75" customHeight="1" x14ac:dyDescent="0.2">
      <c r="A140" s="12">
        <v>119</v>
      </c>
      <c r="B140" s="21" t="s">
        <v>154</v>
      </c>
      <c r="C140" s="11">
        <v>3726.74</v>
      </c>
      <c r="D140" s="11">
        <f t="shared" si="13"/>
        <v>5000000</v>
      </c>
      <c r="E140" s="11">
        <f t="shared" si="14"/>
        <v>5000000</v>
      </c>
      <c r="F140" s="15"/>
      <c r="G140" s="11"/>
      <c r="H140" s="11"/>
      <c r="I140" s="11"/>
      <c r="J140" s="11"/>
      <c r="K140" s="11"/>
      <c r="L140" s="13">
        <v>1</v>
      </c>
      <c r="M140" s="15">
        <f>4750000-50000</f>
        <v>4700000</v>
      </c>
      <c r="N140" s="23"/>
      <c r="O140" s="15"/>
      <c r="P140" s="15"/>
      <c r="Q140" s="11"/>
      <c r="R140" s="15"/>
      <c r="S140" s="15"/>
      <c r="T140" s="15"/>
      <c r="U140" s="15"/>
      <c r="V140" s="15">
        <v>300000</v>
      </c>
    </row>
    <row r="141" spans="1:22" ht="12.75" customHeight="1" x14ac:dyDescent="0.2">
      <c r="A141" s="12">
        <v>120</v>
      </c>
      <c r="B141" s="21" t="s">
        <v>153</v>
      </c>
      <c r="C141" s="11">
        <v>4185.2</v>
      </c>
      <c r="D141" s="11">
        <f t="shared" si="13"/>
        <v>5000000</v>
      </c>
      <c r="E141" s="11">
        <f t="shared" si="14"/>
        <v>5000000</v>
      </c>
      <c r="F141" s="15"/>
      <c r="G141" s="11"/>
      <c r="H141" s="11"/>
      <c r="I141" s="11"/>
      <c r="J141" s="11"/>
      <c r="K141" s="11"/>
      <c r="L141" s="13">
        <v>1</v>
      </c>
      <c r="M141" s="15">
        <v>4700000</v>
      </c>
      <c r="N141" s="23"/>
      <c r="O141" s="15"/>
      <c r="P141" s="15"/>
      <c r="Q141" s="11"/>
      <c r="R141" s="15"/>
      <c r="S141" s="15"/>
      <c r="T141" s="15"/>
      <c r="U141" s="15"/>
      <c r="V141" s="15">
        <v>300000</v>
      </c>
    </row>
    <row r="142" spans="1:22" ht="12.75" customHeight="1" x14ac:dyDescent="0.2">
      <c r="A142" s="12">
        <v>121</v>
      </c>
      <c r="B142" s="22" t="s">
        <v>231</v>
      </c>
      <c r="C142" s="15">
        <v>2017.18</v>
      </c>
      <c r="D142" s="11">
        <f t="shared" si="13"/>
        <v>7998997</v>
      </c>
      <c r="E142" s="11">
        <f t="shared" si="14"/>
        <v>7998997</v>
      </c>
      <c r="F142" s="15"/>
      <c r="G142" s="15"/>
      <c r="H142" s="15"/>
      <c r="I142" s="15"/>
      <c r="J142" s="15"/>
      <c r="K142" s="15"/>
      <c r="L142" s="16"/>
      <c r="M142" s="15"/>
      <c r="N142" s="11">
        <v>593</v>
      </c>
      <c r="O142" s="26">
        <v>7246786</v>
      </c>
      <c r="P142" s="15"/>
      <c r="Q142" s="15"/>
      <c r="R142" s="15"/>
      <c r="S142" s="15"/>
      <c r="T142" s="15"/>
      <c r="U142" s="15"/>
      <c r="V142" s="15">
        <v>752211</v>
      </c>
    </row>
    <row r="143" spans="1:22" ht="12.75" customHeight="1" x14ac:dyDescent="0.2">
      <c r="A143" s="12">
        <v>122</v>
      </c>
      <c r="B143" s="21" t="s">
        <v>33</v>
      </c>
      <c r="C143" s="11">
        <v>3500.32</v>
      </c>
      <c r="D143" s="11">
        <f t="shared" si="13"/>
        <v>9618841</v>
      </c>
      <c r="E143" s="11">
        <f t="shared" si="14"/>
        <v>9618841</v>
      </c>
      <c r="F143" s="15"/>
      <c r="G143" s="15"/>
      <c r="H143" s="15"/>
      <c r="I143" s="15"/>
      <c r="J143" s="15"/>
      <c r="K143" s="15"/>
      <c r="L143" s="16"/>
      <c r="M143" s="15"/>
      <c r="N143" s="11">
        <v>810</v>
      </c>
      <c r="O143" s="26">
        <v>8732881</v>
      </c>
      <c r="P143" s="15"/>
      <c r="Q143" s="15"/>
      <c r="R143" s="15"/>
      <c r="S143" s="15"/>
      <c r="T143" s="15"/>
      <c r="U143" s="15"/>
      <c r="V143" s="15">
        <v>885960</v>
      </c>
    </row>
    <row r="144" spans="1:22" ht="12.75" customHeight="1" x14ac:dyDescent="0.2">
      <c r="A144" s="12">
        <v>123</v>
      </c>
      <c r="B144" s="22" t="s">
        <v>229</v>
      </c>
      <c r="C144" s="15">
        <v>2203.39</v>
      </c>
      <c r="D144" s="11">
        <f t="shared" si="13"/>
        <v>8051317</v>
      </c>
      <c r="E144" s="11">
        <f t="shared" si="14"/>
        <v>8051317</v>
      </c>
      <c r="F144" s="15"/>
      <c r="G144" s="15"/>
      <c r="H144" s="15"/>
      <c r="I144" s="15"/>
      <c r="J144" s="15"/>
      <c r="K144" s="15"/>
      <c r="L144" s="16"/>
      <c r="M144" s="15"/>
      <c r="N144" s="11">
        <v>597</v>
      </c>
      <c r="O144" s="26">
        <v>7294786</v>
      </c>
      <c r="P144" s="15"/>
      <c r="Q144" s="15"/>
      <c r="R144" s="15"/>
      <c r="S144" s="15"/>
      <c r="T144" s="15"/>
      <c r="U144" s="15"/>
      <c r="V144" s="15">
        <v>756531</v>
      </c>
    </row>
    <row r="145" spans="1:22" ht="12.75" customHeight="1" x14ac:dyDescent="0.2">
      <c r="A145" s="12">
        <v>124</v>
      </c>
      <c r="B145" s="21" t="s">
        <v>32</v>
      </c>
      <c r="C145" s="11">
        <v>3808.28</v>
      </c>
      <c r="D145" s="11">
        <f t="shared" si="13"/>
        <v>11492551</v>
      </c>
      <c r="E145" s="11">
        <f t="shared" si="14"/>
        <v>11492551</v>
      </c>
      <c r="F145" s="15"/>
      <c r="G145" s="15"/>
      <c r="H145" s="15"/>
      <c r="I145" s="15"/>
      <c r="J145" s="15"/>
      <c r="K145" s="15"/>
      <c r="L145" s="16"/>
      <c r="M145" s="15"/>
      <c r="N145" s="11">
        <v>1076</v>
      </c>
      <c r="O145" s="26">
        <v>10451881</v>
      </c>
      <c r="P145" s="15"/>
      <c r="Q145" s="15"/>
      <c r="R145" s="15"/>
      <c r="S145" s="15"/>
      <c r="T145" s="15"/>
      <c r="U145" s="15"/>
      <c r="V145" s="15">
        <v>1040670</v>
      </c>
    </row>
    <row r="146" spans="1:22" ht="12.75" customHeight="1" x14ac:dyDescent="0.2">
      <c r="A146" s="12">
        <v>125</v>
      </c>
      <c r="B146" s="22" t="s">
        <v>230</v>
      </c>
      <c r="C146" s="15">
        <v>1997.7</v>
      </c>
      <c r="D146" s="11">
        <f t="shared" si="13"/>
        <v>7998996</v>
      </c>
      <c r="E146" s="11">
        <f t="shared" si="14"/>
        <v>7998996</v>
      </c>
      <c r="F146" s="15"/>
      <c r="G146" s="15"/>
      <c r="H146" s="15"/>
      <c r="I146" s="15"/>
      <c r="J146" s="15"/>
      <c r="K146" s="15"/>
      <c r="L146" s="16"/>
      <c r="M146" s="15"/>
      <c r="N146" s="11">
        <v>593</v>
      </c>
      <c r="O146" s="26">
        <v>7246786</v>
      </c>
      <c r="P146" s="15"/>
      <c r="Q146" s="15"/>
      <c r="R146" s="15"/>
      <c r="S146" s="15"/>
      <c r="T146" s="15"/>
      <c r="U146" s="15"/>
      <c r="V146" s="15">
        <v>752210</v>
      </c>
    </row>
    <row r="147" spans="1:22" ht="12.75" customHeight="1" x14ac:dyDescent="0.2">
      <c r="A147" s="12">
        <v>126</v>
      </c>
      <c r="B147" s="21" t="s">
        <v>3</v>
      </c>
      <c r="C147" s="11">
        <v>4193.2</v>
      </c>
      <c r="D147" s="11">
        <f t="shared" si="13"/>
        <v>15130415</v>
      </c>
      <c r="E147" s="11">
        <f t="shared" si="14"/>
        <v>15130415</v>
      </c>
      <c r="F147" s="15"/>
      <c r="G147" s="15"/>
      <c r="H147" s="15"/>
      <c r="I147" s="15"/>
      <c r="J147" s="15"/>
      <c r="K147" s="15"/>
      <c r="L147" s="16"/>
      <c r="M147" s="15"/>
      <c r="N147" s="11">
        <v>1164</v>
      </c>
      <c r="O147" s="26">
        <v>13881115</v>
      </c>
      <c r="P147" s="15"/>
      <c r="Q147" s="15"/>
      <c r="R147" s="15"/>
      <c r="S147" s="15"/>
      <c r="T147" s="15"/>
      <c r="U147" s="15"/>
      <c r="V147" s="15">
        <v>1249300</v>
      </c>
    </row>
    <row r="148" spans="1:22" ht="12.75" customHeight="1" x14ac:dyDescent="0.2">
      <c r="A148" s="12">
        <v>127</v>
      </c>
      <c r="B148" s="21" t="s">
        <v>4</v>
      </c>
      <c r="C148" s="11">
        <v>3455.96</v>
      </c>
      <c r="D148" s="11">
        <f t="shared" si="13"/>
        <v>12115195</v>
      </c>
      <c r="E148" s="11">
        <f t="shared" si="14"/>
        <v>12115195</v>
      </c>
      <c r="F148" s="15"/>
      <c r="G148" s="15"/>
      <c r="H148" s="15"/>
      <c r="I148" s="15"/>
      <c r="J148" s="15"/>
      <c r="K148" s="15"/>
      <c r="L148" s="16"/>
      <c r="M148" s="15"/>
      <c r="N148" s="11">
        <v>950</v>
      </c>
      <c r="O148" s="26">
        <v>11023115</v>
      </c>
      <c r="P148" s="15"/>
      <c r="Q148" s="15"/>
      <c r="R148" s="15"/>
      <c r="S148" s="15"/>
      <c r="T148" s="15"/>
      <c r="U148" s="15"/>
      <c r="V148" s="15">
        <v>1092080</v>
      </c>
    </row>
    <row r="149" spans="1:22" ht="12.75" customHeight="1" x14ac:dyDescent="0.2">
      <c r="A149" s="12">
        <v>128</v>
      </c>
      <c r="B149" s="21" t="s">
        <v>5</v>
      </c>
      <c r="C149" s="11">
        <v>2386</v>
      </c>
      <c r="D149" s="11">
        <f t="shared" si="13"/>
        <v>7612405</v>
      </c>
      <c r="E149" s="11">
        <f t="shared" si="14"/>
        <v>7612405</v>
      </c>
      <c r="F149" s="15"/>
      <c r="G149" s="15"/>
      <c r="H149" s="15"/>
      <c r="I149" s="15"/>
      <c r="J149" s="15"/>
      <c r="K149" s="15"/>
      <c r="L149" s="16"/>
      <c r="M149" s="15"/>
      <c r="N149" s="11">
        <v>597</v>
      </c>
      <c r="O149" s="26">
        <v>6892115</v>
      </c>
      <c r="P149" s="15"/>
      <c r="Q149" s="15"/>
      <c r="R149" s="15"/>
      <c r="S149" s="15"/>
      <c r="T149" s="15"/>
      <c r="U149" s="15"/>
      <c r="V149" s="15">
        <v>720290</v>
      </c>
    </row>
    <row r="150" spans="1:22" ht="12.75" customHeight="1" x14ac:dyDescent="0.2">
      <c r="A150" s="12">
        <v>129</v>
      </c>
      <c r="B150" s="21" t="s">
        <v>6</v>
      </c>
      <c r="C150" s="11">
        <v>2247.1</v>
      </c>
      <c r="D150" s="11">
        <f t="shared" si="13"/>
        <v>6817795</v>
      </c>
      <c r="E150" s="11">
        <f t="shared" si="14"/>
        <v>6817795</v>
      </c>
      <c r="F150" s="15"/>
      <c r="G150" s="15"/>
      <c r="H150" s="15"/>
      <c r="I150" s="15"/>
      <c r="J150" s="15"/>
      <c r="K150" s="15"/>
      <c r="L150" s="16"/>
      <c r="M150" s="15"/>
      <c r="N150" s="11">
        <v>696</v>
      </c>
      <c r="O150" s="26">
        <v>6163115</v>
      </c>
      <c r="P150" s="15"/>
      <c r="Q150" s="15"/>
      <c r="R150" s="15"/>
      <c r="S150" s="15"/>
      <c r="T150" s="15"/>
      <c r="U150" s="15"/>
      <c r="V150" s="15">
        <v>654680</v>
      </c>
    </row>
    <row r="151" spans="1:22" ht="13.5" customHeight="1" x14ac:dyDescent="0.2">
      <c r="A151" s="12">
        <v>130</v>
      </c>
      <c r="B151" s="21" t="s">
        <v>7</v>
      </c>
      <c r="C151" s="11">
        <v>1989.47</v>
      </c>
      <c r="D151" s="11">
        <f t="shared" si="13"/>
        <v>7178585</v>
      </c>
      <c r="E151" s="11">
        <f t="shared" si="14"/>
        <v>7178585</v>
      </c>
      <c r="F151" s="15"/>
      <c r="G151" s="15"/>
      <c r="H151" s="15"/>
      <c r="I151" s="15"/>
      <c r="J151" s="15"/>
      <c r="K151" s="15"/>
      <c r="L151" s="16"/>
      <c r="M151" s="15"/>
      <c r="N151" s="11">
        <v>763</v>
      </c>
      <c r="O151" s="26">
        <v>6494115</v>
      </c>
      <c r="P151" s="15"/>
      <c r="Q151" s="15"/>
      <c r="R151" s="15"/>
      <c r="S151" s="15"/>
      <c r="T151" s="15"/>
      <c r="U151" s="15"/>
      <c r="V151" s="15">
        <v>684470</v>
      </c>
    </row>
    <row r="152" spans="1:22" ht="12.75" customHeight="1" x14ac:dyDescent="0.2">
      <c r="A152" s="12">
        <v>131</v>
      </c>
      <c r="B152" s="21" t="s">
        <v>31</v>
      </c>
      <c r="C152" s="11">
        <v>6821.03</v>
      </c>
      <c r="D152" s="11">
        <f t="shared" si="13"/>
        <v>21252259</v>
      </c>
      <c r="E152" s="11">
        <f t="shared" si="14"/>
        <v>21252259</v>
      </c>
      <c r="F152" s="15"/>
      <c r="G152" s="15"/>
      <c r="H152" s="15"/>
      <c r="I152" s="15"/>
      <c r="J152" s="15"/>
      <c r="K152" s="15"/>
      <c r="L152" s="16"/>
      <c r="M152" s="15"/>
      <c r="N152" s="11">
        <v>1584</v>
      </c>
      <c r="O152" s="26">
        <f>19551349-70000</f>
        <v>19481349</v>
      </c>
      <c r="P152" s="15"/>
      <c r="Q152" s="15"/>
      <c r="R152" s="15"/>
      <c r="S152" s="15"/>
      <c r="T152" s="15"/>
      <c r="U152" s="15"/>
      <c r="V152" s="15">
        <v>1770910</v>
      </c>
    </row>
    <row r="153" spans="1:22" ht="12.75" customHeight="1" x14ac:dyDescent="0.2">
      <c r="A153" s="19" t="s">
        <v>35</v>
      </c>
      <c r="B153" s="20"/>
      <c r="C153" s="17"/>
      <c r="D153" s="11"/>
      <c r="E153" s="11"/>
      <c r="F153" s="17"/>
      <c r="G153" s="17"/>
      <c r="H153" s="17"/>
      <c r="I153" s="17"/>
      <c r="J153" s="17"/>
      <c r="K153" s="17"/>
      <c r="L153" s="18"/>
      <c r="M153" s="17"/>
      <c r="N153" s="17"/>
      <c r="O153" s="17"/>
      <c r="P153" s="17"/>
      <c r="Q153" s="17"/>
      <c r="R153" s="17"/>
      <c r="S153" s="17"/>
      <c r="T153" s="17"/>
      <c r="U153" s="17"/>
      <c r="V153" s="15"/>
    </row>
    <row r="154" spans="1:22" ht="12.75" customHeight="1" x14ac:dyDescent="0.2">
      <c r="A154" s="12">
        <v>132</v>
      </c>
      <c r="B154" s="21" t="s">
        <v>365</v>
      </c>
      <c r="C154" s="11">
        <v>4589</v>
      </c>
      <c r="D154" s="11">
        <f t="shared" ref="D154:D183" si="15">F154+G154+H154+I154+J154+K154+M154+O154+Q154+S154+U154+V154</f>
        <v>31559745</v>
      </c>
      <c r="E154" s="11">
        <f>D154</f>
        <v>31559745</v>
      </c>
      <c r="F154" s="15"/>
      <c r="G154" s="15">
        <v>5000000</v>
      </c>
      <c r="H154" s="15"/>
      <c r="I154" s="15"/>
      <c r="J154" s="15">
        <v>4000000</v>
      </c>
      <c r="K154" s="15">
        <v>2000000</v>
      </c>
      <c r="L154" s="16"/>
      <c r="M154" s="15"/>
      <c r="N154" s="15">
        <v>1008</v>
      </c>
      <c r="O154" s="27">
        <f>15878000+1803025-90000</f>
        <v>17591025</v>
      </c>
      <c r="P154" s="15"/>
      <c r="Q154" s="15"/>
      <c r="R154" s="15"/>
      <c r="S154" s="15"/>
      <c r="T154" s="15"/>
      <c r="U154" s="15"/>
      <c r="V154" s="15">
        <v>2968720</v>
      </c>
    </row>
    <row r="155" spans="1:22" ht="12.75" customHeight="1" x14ac:dyDescent="0.2">
      <c r="A155" s="12">
        <v>133</v>
      </c>
      <c r="B155" s="21" t="s">
        <v>451</v>
      </c>
      <c r="C155" s="11">
        <v>4980.12</v>
      </c>
      <c r="D155" s="11">
        <f t="shared" si="15"/>
        <v>27162550</v>
      </c>
      <c r="E155" s="11">
        <f t="shared" ref="E155:E183" si="16">D155</f>
        <v>27162550</v>
      </c>
      <c r="F155" s="15"/>
      <c r="G155" s="15"/>
      <c r="H155" s="15"/>
      <c r="I155" s="15"/>
      <c r="J155" s="15">
        <f>1000000+1150000</f>
        <v>2150000</v>
      </c>
      <c r="K155" s="15"/>
      <c r="L155" s="16"/>
      <c r="M155" s="15"/>
      <c r="N155" s="15"/>
      <c r="O155" s="15"/>
      <c r="P155" s="15"/>
      <c r="Q155" s="15"/>
      <c r="R155" s="15">
        <v>3306</v>
      </c>
      <c r="S155" s="15">
        <f>23795000-1150000-50000</f>
        <v>22595000</v>
      </c>
      <c r="T155" s="15"/>
      <c r="U155" s="15"/>
      <c r="V155" s="15">
        <v>2417550</v>
      </c>
    </row>
    <row r="156" spans="1:22" ht="12.75" customHeight="1" x14ac:dyDescent="0.2">
      <c r="A156" s="12">
        <v>134</v>
      </c>
      <c r="B156" s="21" t="s">
        <v>367</v>
      </c>
      <c r="C156" s="11">
        <v>18696.79</v>
      </c>
      <c r="D156" s="11">
        <f t="shared" si="15"/>
        <v>1803025</v>
      </c>
      <c r="E156" s="11">
        <f t="shared" si="16"/>
        <v>1803025</v>
      </c>
      <c r="F156" s="15"/>
      <c r="G156" s="15"/>
      <c r="H156" s="15"/>
      <c r="I156" s="15"/>
      <c r="J156" s="15">
        <v>1500000</v>
      </c>
      <c r="K156" s="15"/>
      <c r="L156" s="16"/>
      <c r="M156" s="15"/>
      <c r="N156" s="15"/>
      <c r="O156" s="15"/>
      <c r="P156" s="15"/>
      <c r="Q156" s="15"/>
      <c r="R156" s="15"/>
      <c r="S156" s="15"/>
      <c r="T156" s="15"/>
      <c r="U156" s="15"/>
      <c r="V156" s="15">
        <v>303025</v>
      </c>
    </row>
    <row r="157" spans="1:22" ht="12.75" customHeight="1" x14ac:dyDescent="0.2">
      <c r="A157" s="12">
        <v>135</v>
      </c>
      <c r="B157" s="21" t="s">
        <v>369</v>
      </c>
      <c r="C157" s="11">
        <v>10268.65</v>
      </c>
      <c r="D157" s="11">
        <f t="shared" si="15"/>
        <v>72559618</v>
      </c>
      <c r="E157" s="11">
        <f t="shared" si="16"/>
        <v>72559618</v>
      </c>
      <c r="F157" s="15"/>
      <c r="G157" s="15"/>
      <c r="H157" s="15"/>
      <c r="I157" s="15"/>
      <c r="J157" s="15">
        <v>1000000</v>
      </c>
      <c r="K157" s="15"/>
      <c r="L157" s="16"/>
      <c r="M157" s="15"/>
      <c r="N157" s="15">
        <v>1516</v>
      </c>
      <c r="O157" s="27">
        <v>36384000</v>
      </c>
      <c r="P157" s="15"/>
      <c r="Q157" s="15"/>
      <c r="R157" s="15">
        <v>4645</v>
      </c>
      <c r="S157" s="15">
        <f>31336750-2500000-80000</f>
        <v>28756750</v>
      </c>
      <c r="T157" s="15"/>
      <c r="U157" s="15"/>
      <c r="V157" s="15">
        <v>6418868</v>
      </c>
    </row>
    <row r="158" spans="1:22" ht="12.75" customHeight="1" x14ac:dyDescent="0.2">
      <c r="A158" s="12">
        <v>136</v>
      </c>
      <c r="B158" s="21" t="s">
        <v>372</v>
      </c>
      <c r="C158" s="11">
        <v>1447.63</v>
      </c>
      <c r="D158" s="11">
        <f t="shared" si="15"/>
        <v>4800625</v>
      </c>
      <c r="E158" s="11">
        <f t="shared" si="16"/>
        <v>4800625</v>
      </c>
      <c r="F158" s="15"/>
      <c r="G158" s="15"/>
      <c r="H158" s="15"/>
      <c r="I158" s="15"/>
      <c r="J158" s="15"/>
      <c r="K158" s="15"/>
      <c r="L158" s="16"/>
      <c r="M158" s="15"/>
      <c r="N158" s="15"/>
      <c r="O158" s="15"/>
      <c r="P158" s="15"/>
      <c r="Q158" s="15"/>
      <c r="R158" s="15">
        <v>575</v>
      </c>
      <c r="S158" s="15">
        <v>4312500</v>
      </c>
      <c r="T158" s="15"/>
      <c r="U158" s="15"/>
      <c r="V158" s="15">
        <v>488125</v>
      </c>
    </row>
    <row r="159" spans="1:22" ht="12.75" customHeight="1" x14ac:dyDescent="0.2">
      <c r="A159" s="12">
        <v>137</v>
      </c>
      <c r="B159" s="21" t="s">
        <v>373</v>
      </c>
      <c r="C159" s="11">
        <v>4897.47</v>
      </c>
      <c r="D159" s="11">
        <f t="shared" si="15"/>
        <v>23733925</v>
      </c>
      <c r="E159" s="11">
        <f t="shared" si="16"/>
        <v>23733925</v>
      </c>
      <c r="F159" s="15"/>
      <c r="G159" s="15"/>
      <c r="H159" s="15"/>
      <c r="I159" s="15"/>
      <c r="J159" s="15">
        <v>1000000</v>
      </c>
      <c r="K159" s="15"/>
      <c r="L159" s="16"/>
      <c r="M159" s="15"/>
      <c r="N159" s="15"/>
      <c r="O159" s="15"/>
      <c r="P159" s="15"/>
      <c r="Q159" s="15"/>
      <c r="R159" s="15">
        <v>2891</v>
      </c>
      <c r="S159" s="15">
        <f>20682500-50000</f>
        <v>20632500</v>
      </c>
      <c r="T159" s="15"/>
      <c r="U159" s="15"/>
      <c r="V159" s="15">
        <v>2101425</v>
      </c>
    </row>
    <row r="160" spans="1:22" ht="12.75" customHeight="1" x14ac:dyDescent="0.2">
      <c r="A160" s="12">
        <v>138</v>
      </c>
      <c r="B160" s="21" t="s">
        <v>375</v>
      </c>
      <c r="C160" s="11">
        <v>3718.85</v>
      </c>
      <c r="D160" s="11">
        <f t="shared" si="15"/>
        <v>14008845</v>
      </c>
      <c r="E160" s="11">
        <f t="shared" si="16"/>
        <v>14008845</v>
      </c>
      <c r="F160" s="15"/>
      <c r="G160" s="15"/>
      <c r="H160" s="15"/>
      <c r="I160" s="15"/>
      <c r="J160" s="15">
        <v>1000000</v>
      </c>
      <c r="K160" s="15"/>
      <c r="L160" s="16"/>
      <c r="M160" s="15"/>
      <c r="N160" s="15"/>
      <c r="O160" s="15"/>
      <c r="P160" s="15">
        <v>454</v>
      </c>
      <c r="Q160" s="15">
        <v>11698000</v>
      </c>
      <c r="R160" s="15"/>
      <c r="S160" s="15"/>
      <c r="T160" s="15"/>
      <c r="U160" s="15"/>
      <c r="V160" s="15">
        <v>1310845</v>
      </c>
    </row>
    <row r="161" spans="1:22" ht="12.75" customHeight="1" x14ac:dyDescent="0.2">
      <c r="A161" s="12">
        <v>139</v>
      </c>
      <c r="B161" s="21" t="s">
        <v>370</v>
      </c>
      <c r="C161" s="11">
        <v>15478.82</v>
      </c>
      <c r="D161" s="11">
        <f t="shared" si="15"/>
        <v>1803025</v>
      </c>
      <c r="E161" s="11">
        <f t="shared" si="16"/>
        <v>1803025</v>
      </c>
      <c r="F161" s="15"/>
      <c r="G161" s="15"/>
      <c r="H161" s="15"/>
      <c r="I161" s="15"/>
      <c r="J161" s="15">
        <v>1500000</v>
      </c>
      <c r="K161" s="15"/>
      <c r="L161" s="16"/>
      <c r="M161" s="15"/>
      <c r="N161" s="15"/>
      <c r="O161" s="15"/>
      <c r="P161" s="15"/>
      <c r="Q161" s="15"/>
      <c r="R161" s="15"/>
      <c r="S161" s="15"/>
      <c r="T161" s="15"/>
      <c r="U161" s="15"/>
      <c r="V161" s="15">
        <v>303025</v>
      </c>
    </row>
    <row r="162" spans="1:22" ht="12.75" customHeight="1" x14ac:dyDescent="0.2">
      <c r="A162" s="12">
        <v>140</v>
      </c>
      <c r="B162" s="21" t="s">
        <v>371</v>
      </c>
      <c r="C162" s="11">
        <v>8794.41</v>
      </c>
      <c r="D162" s="11">
        <f t="shared" si="15"/>
        <v>3213025</v>
      </c>
      <c r="E162" s="11">
        <f t="shared" si="16"/>
        <v>3213025</v>
      </c>
      <c r="F162" s="15"/>
      <c r="G162" s="15"/>
      <c r="H162" s="15"/>
      <c r="I162" s="15"/>
      <c r="J162" s="15">
        <f>1500000-100000</f>
        <v>1400000</v>
      </c>
      <c r="K162" s="15">
        <f>1500000-50000</f>
        <v>1450000</v>
      </c>
      <c r="L162" s="16"/>
      <c r="M162" s="15"/>
      <c r="N162" s="15"/>
      <c r="O162" s="15"/>
      <c r="P162" s="15"/>
      <c r="Q162" s="15"/>
      <c r="R162" s="15"/>
      <c r="S162" s="15"/>
      <c r="T162" s="15"/>
      <c r="U162" s="15"/>
      <c r="V162" s="15">
        <v>363025</v>
      </c>
    </row>
    <row r="163" spans="1:22" ht="12.75" customHeight="1" x14ac:dyDescent="0.2">
      <c r="A163" s="12">
        <v>141</v>
      </c>
      <c r="B163" s="21" t="s">
        <v>103</v>
      </c>
      <c r="C163" s="11">
        <v>2095.25</v>
      </c>
      <c r="D163" s="11">
        <f t="shared" si="15"/>
        <v>10245175</v>
      </c>
      <c r="E163" s="11">
        <f t="shared" si="16"/>
        <v>10245175</v>
      </c>
      <c r="F163" s="15"/>
      <c r="G163" s="15"/>
      <c r="H163" s="15"/>
      <c r="I163" s="15"/>
      <c r="J163" s="15">
        <v>1000000</v>
      </c>
      <c r="K163" s="15"/>
      <c r="L163" s="16"/>
      <c r="M163" s="15"/>
      <c r="N163" s="15"/>
      <c r="O163" s="15"/>
      <c r="P163" s="15"/>
      <c r="Q163" s="15"/>
      <c r="R163" s="15">
        <v>1241</v>
      </c>
      <c r="S163" s="15">
        <v>8307500</v>
      </c>
      <c r="T163" s="15"/>
      <c r="U163" s="15"/>
      <c r="V163" s="15">
        <v>937675.00000000012</v>
      </c>
    </row>
    <row r="164" spans="1:22" ht="12.75" customHeight="1" x14ac:dyDescent="0.2">
      <c r="A164" s="12">
        <v>142</v>
      </c>
      <c r="B164" s="21" t="s">
        <v>105</v>
      </c>
      <c r="C164" s="11">
        <v>4210.37</v>
      </c>
      <c r="D164" s="11">
        <f t="shared" si="15"/>
        <v>55082434</v>
      </c>
      <c r="E164" s="11">
        <f t="shared" si="16"/>
        <v>55082434</v>
      </c>
      <c r="F164" s="15">
        <v>2000000</v>
      </c>
      <c r="G164" s="15">
        <v>2000000</v>
      </c>
      <c r="H164" s="15"/>
      <c r="I164" s="15"/>
      <c r="J164" s="15">
        <v>2000000</v>
      </c>
      <c r="K164" s="15">
        <v>2000000</v>
      </c>
      <c r="L164" s="16"/>
      <c r="M164" s="15"/>
      <c r="N164" s="15">
        <v>1464.9</v>
      </c>
      <c r="O164" s="27">
        <f>35157600-3000000-4000000-4000000-5010000</f>
        <v>19147600</v>
      </c>
      <c r="P164" s="15">
        <v>761</v>
      </c>
      <c r="Q164" s="15">
        <v>5010000</v>
      </c>
      <c r="R164" s="15">
        <v>2038</v>
      </c>
      <c r="S164" s="15">
        <f>18285000-100000</f>
        <v>18185000</v>
      </c>
      <c r="T164" s="15"/>
      <c r="U164" s="15"/>
      <c r="V164" s="15">
        <v>4739834</v>
      </c>
    </row>
    <row r="165" spans="1:22" ht="12.75" customHeight="1" x14ac:dyDescent="0.2">
      <c r="A165" s="12">
        <v>143</v>
      </c>
      <c r="B165" s="21" t="s">
        <v>99</v>
      </c>
      <c r="C165" s="11">
        <v>2365.66</v>
      </c>
      <c r="D165" s="11">
        <f t="shared" si="15"/>
        <v>12828475</v>
      </c>
      <c r="E165" s="11">
        <f t="shared" si="16"/>
        <v>12828475</v>
      </c>
      <c r="F165" s="15"/>
      <c r="G165" s="15"/>
      <c r="H165" s="15"/>
      <c r="I165" s="15"/>
      <c r="J165" s="15">
        <v>1000000</v>
      </c>
      <c r="K165" s="15"/>
      <c r="L165" s="16"/>
      <c r="M165" s="15"/>
      <c r="N165" s="15"/>
      <c r="O165" s="15"/>
      <c r="P165" s="15"/>
      <c r="Q165" s="15"/>
      <c r="R165" s="15">
        <v>1557</v>
      </c>
      <c r="S165" s="15">
        <v>10677500</v>
      </c>
      <c r="T165" s="15"/>
      <c r="U165" s="15"/>
      <c r="V165" s="15">
        <v>1150975</v>
      </c>
    </row>
    <row r="166" spans="1:22" ht="12.75" customHeight="1" x14ac:dyDescent="0.2">
      <c r="A166" s="12">
        <v>144</v>
      </c>
      <c r="B166" s="21" t="s">
        <v>104</v>
      </c>
      <c r="C166" s="11">
        <v>1047.1400000000001</v>
      </c>
      <c r="D166" s="11">
        <f t="shared" si="15"/>
        <v>22262861</v>
      </c>
      <c r="E166" s="11">
        <f t="shared" si="16"/>
        <v>22262861</v>
      </c>
      <c r="F166" s="15">
        <v>2000000</v>
      </c>
      <c r="G166" s="15">
        <v>2000000</v>
      </c>
      <c r="H166" s="15"/>
      <c r="I166" s="15"/>
      <c r="J166" s="15">
        <v>3500000</v>
      </c>
      <c r="K166" s="15">
        <v>2000000</v>
      </c>
      <c r="L166" s="16"/>
      <c r="M166" s="15"/>
      <c r="N166" s="15">
        <v>560.4</v>
      </c>
      <c r="O166" s="27">
        <v>4763691.17</v>
      </c>
      <c r="P166" s="15"/>
      <c r="Q166" s="15"/>
      <c r="R166" s="15">
        <v>635</v>
      </c>
      <c r="S166" s="15">
        <f>4762500-38000</f>
        <v>4724500</v>
      </c>
      <c r="T166" s="15">
        <v>115</v>
      </c>
      <c r="U166" s="15">
        <v>1306708.83</v>
      </c>
      <c r="V166" s="15">
        <v>1967961.0000000002</v>
      </c>
    </row>
    <row r="167" spans="1:22" ht="12.75" customHeight="1" x14ac:dyDescent="0.2">
      <c r="A167" s="12">
        <v>145</v>
      </c>
      <c r="B167" s="21" t="s">
        <v>309</v>
      </c>
      <c r="C167" s="11">
        <v>3599.24</v>
      </c>
      <c r="D167" s="11">
        <f t="shared" si="15"/>
        <v>34321331</v>
      </c>
      <c r="E167" s="11">
        <f t="shared" si="16"/>
        <v>34321331</v>
      </c>
      <c r="F167" s="15">
        <v>2000000</v>
      </c>
      <c r="G167" s="15">
        <v>2000000</v>
      </c>
      <c r="H167" s="15"/>
      <c r="I167" s="15"/>
      <c r="J167" s="15">
        <v>3000000</v>
      </c>
      <c r="K167" s="15">
        <v>2000000</v>
      </c>
      <c r="L167" s="16"/>
      <c r="M167" s="15"/>
      <c r="N167" s="15">
        <v>1304</v>
      </c>
      <c r="O167" s="27">
        <f>31269865-9000000-5900000</f>
        <v>16369865</v>
      </c>
      <c r="P167" s="15"/>
      <c r="Q167" s="15"/>
      <c r="R167" s="15">
        <v>2132</v>
      </c>
      <c r="S167" s="15">
        <v>5900000</v>
      </c>
      <c r="T167" s="15"/>
      <c r="U167" s="15"/>
      <c r="V167" s="15">
        <v>3051466</v>
      </c>
    </row>
    <row r="168" spans="1:22" ht="12.75" customHeight="1" x14ac:dyDescent="0.2">
      <c r="A168" s="12">
        <v>146</v>
      </c>
      <c r="B168" s="21" t="s">
        <v>106</v>
      </c>
      <c r="C168" s="11">
        <v>6738.5</v>
      </c>
      <c r="D168" s="11">
        <f t="shared" si="15"/>
        <v>61273525</v>
      </c>
      <c r="E168" s="11">
        <f t="shared" si="16"/>
        <v>61273525</v>
      </c>
      <c r="F168" s="15"/>
      <c r="G168" s="15">
        <v>2000000</v>
      </c>
      <c r="H168" s="15"/>
      <c r="I168" s="15"/>
      <c r="J168" s="15">
        <v>2000000</v>
      </c>
      <c r="K168" s="15"/>
      <c r="L168" s="16"/>
      <c r="M168" s="15"/>
      <c r="N168" s="15">
        <v>1415.1</v>
      </c>
      <c r="O168" s="27">
        <f>33960000-3000000-305000</f>
        <v>30655000</v>
      </c>
      <c r="P168" s="15"/>
      <c r="Q168" s="15"/>
      <c r="R168" s="15">
        <v>2955</v>
      </c>
      <c r="S168" s="15">
        <f>21467500-103000</f>
        <v>21364500</v>
      </c>
      <c r="T168" s="15"/>
      <c r="U168" s="15"/>
      <c r="V168" s="15">
        <v>5254025</v>
      </c>
    </row>
    <row r="169" spans="1:22" ht="12.75" customHeight="1" x14ac:dyDescent="0.2">
      <c r="A169" s="12">
        <v>147</v>
      </c>
      <c r="B169" s="21" t="s">
        <v>98</v>
      </c>
      <c r="C169" s="11">
        <v>3168.7</v>
      </c>
      <c r="D169" s="11">
        <f t="shared" si="15"/>
        <v>45172590</v>
      </c>
      <c r="E169" s="11">
        <f t="shared" si="16"/>
        <v>45172590</v>
      </c>
      <c r="F169" s="15">
        <v>3000000</v>
      </c>
      <c r="G169" s="15">
        <v>3000000</v>
      </c>
      <c r="H169" s="15"/>
      <c r="I169" s="15"/>
      <c r="J169" s="15">
        <v>3572000</v>
      </c>
      <c r="K169" s="15">
        <v>3000000</v>
      </c>
      <c r="L169" s="16"/>
      <c r="M169" s="15"/>
      <c r="N169" s="15">
        <v>961</v>
      </c>
      <c r="O169" s="27">
        <v>14414000</v>
      </c>
      <c r="P169" s="15"/>
      <c r="Q169" s="15"/>
      <c r="R169" s="15">
        <v>2182</v>
      </c>
      <c r="S169" s="15">
        <f>14365000-76000</f>
        <v>14289000</v>
      </c>
      <c r="T169" s="15"/>
      <c r="U169" s="15"/>
      <c r="V169" s="15">
        <v>3897590.0000000005</v>
      </c>
    </row>
    <row r="170" spans="1:22" ht="12.75" customHeight="1" x14ac:dyDescent="0.2">
      <c r="A170" s="12">
        <v>148</v>
      </c>
      <c r="B170" s="21" t="s">
        <v>452</v>
      </c>
      <c r="C170" s="11">
        <v>8005.4</v>
      </c>
      <c r="D170" s="11">
        <f t="shared" si="15"/>
        <v>64841902</v>
      </c>
      <c r="E170" s="11">
        <f t="shared" si="16"/>
        <v>64841902</v>
      </c>
      <c r="F170" s="15">
        <v>1200000</v>
      </c>
      <c r="G170" s="15"/>
      <c r="H170" s="15"/>
      <c r="I170" s="15"/>
      <c r="J170" s="15"/>
      <c r="K170" s="15"/>
      <c r="L170" s="16">
        <v>3</v>
      </c>
      <c r="M170" s="15">
        <v>14250000</v>
      </c>
      <c r="N170" s="15">
        <v>1157.8</v>
      </c>
      <c r="O170" s="27">
        <v>27102800</v>
      </c>
      <c r="P170" s="15"/>
      <c r="Q170" s="15"/>
      <c r="R170" s="15">
        <v>2182</v>
      </c>
      <c r="S170" s="15">
        <f>16365000-103000</f>
        <v>16262000</v>
      </c>
      <c r="T170" s="15"/>
      <c r="U170" s="15"/>
      <c r="V170" s="15">
        <v>6027102</v>
      </c>
    </row>
    <row r="171" spans="1:22" ht="12.75" customHeight="1" x14ac:dyDescent="0.2">
      <c r="A171" s="12">
        <v>149</v>
      </c>
      <c r="B171" s="21" t="s">
        <v>37</v>
      </c>
      <c r="C171" s="11">
        <v>1729.85</v>
      </c>
      <c r="D171" s="11">
        <f t="shared" si="15"/>
        <v>37548040</v>
      </c>
      <c r="E171" s="11">
        <f t="shared" si="16"/>
        <v>37548040</v>
      </c>
      <c r="F171" s="15">
        <v>3000000</v>
      </c>
      <c r="G171" s="15">
        <v>4000000</v>
      </c>
      <c r="H171" s="15"/>
      <c r="I171" s="15"/>
      <c r="J171" s="15">
        <v>4000000</v>
      </c>
      <c r="K171" s="15">
        <v>3000000</v>
      </c>
      <c r="L171" s="16"/>
      <c r="M171" s="15"/>
      <c r="N171" s="15">
        <v>1050</v>
      </c>
      <c r="O171" s="27">
        <f>26100000-10500000-2000000-5800000</f>
        <v>7800000</v>
      </c>
      <c r="P171" s="15">
        <v>203</v>
      </c>
      <c r="Q171" s="15">
        <v>5000000</v>
      </c>
      <c r="R171" s="15">
        <v>784</v>
      </c>
      <c r="S171" s="15">
        <f>6056000-63000</f>
        <v>5993000</v>
      </c>
      <c r="T171" s="15">
        <v>156</v>
      </c>
      <c r="U171" s="15">
        <v>1500000</v>
      </c>
      <c r="V171" s="15">
        <v>3255040</v>
      </c>
    </row>
    <row r="172" spans="1:22" ht="12.75" customHeight="1" x14ac:dyDescent="0.2">
      <c r="A172" s="12">
        <v>150</v>
      </c>
      <c r="B172" s="21" t="s">
        <v>100</v>
      </c>
      <c r="C172" s="11">
        <v>8066.62</v>
      </c>
      <c r="D172" s="11">
        <f t="shared" si="15"/>
        <v>17733475</v>
      </c>
      <c r="E172" s="11">
        <f t="shared" si="16"/>
        <v>17733475</v>
      </c>
      <c r="F172" s="15"/>
      <c r="G172" s="15"/>
      <c r="H172" s="15"/>
      <c r="I172" s="15"/>
      <c r="J172" s="15"/>
      <c r="K172" s="15"/>
      <c r="L172" s="16">
        <v>3</v>
      </c>
      <c r="M172" s="15">
        <v>14250000</v>
      </c>
      <c r="N172" s="15"/>
      <c r="O172" s="15"/>
      <c r="P172" s="15"/>
      <c r="Q172" s="15"/>
      <c r="R172" s="15">
        <v>557</v>
      </c>
      <c r="S172" s="15">
        <f>3177500-1176450</f>
        <v>2001050</v>
      </c>
      <c r="T172" s="15"/>
      <c r="U172" s="15"/>
      <c r="V172" s="15">
        <v>1482425</v>
      </c>
    </row>
    <row r="173" spans="1:22" ht="12.75" customHeight="1" x14ac:dyDescent="0.2">
      <c r="A173" s="12">
        <v>151</v>
      </c>
      <c r="B173" s="21" t="s">
        <v>101</v>
      </c>
      <c r="C173" s="11">
        <v>5427.83</v>
      </c>
      <c r="D173" s="11">
        <f t="shared" si="15"/>
        <v>24692501.350000001</v>
      </c>
      <c r="E173" s="11">
        <f t="shared" si="16"/>
        <v>24692501.350000001</v>
      </c>
      <c r="F173" s="15"/>
      <c r="G173" s="15"/>
      <c r="H173" s="15"/>
      <c r="I173" s="15"/>
      <c r="J173" s="15"/>
      <c r="K173" s="15"/>
      <c r="L173" s="16">
        <v>5</v>
      </c>
      <c r="M173" s="15">
        <f>23750000-1797498.65</f>
        <v>21952501.350000001</v>
      </c>
      <c r="N173" s="15"/>
      <c r="O173" s="15"/>
      <c r="P173" s="15"/>
      <c r="Q173" s="15"/>
      <c r="R173" s="15"/>
      <c r="S173" s="15"/>
      <c r="T173" s="15"/>
      <c r="U173" s="15"/>
      <c r="V173" s="15">
        <v>2740000</v>
      </c>
    </row>
    <row r="174" spans="1:22" ht="12.75" customHeight="1" x14ac:dyDescent="0.2">
      <c r="A174" s="12">
        <v>152</v>
      </c>
      <c r="B174" s="21" t="s">
        <v>102</v>
      </c>
      <c r="C174" s="11">
        <v>3936.08</v>
      </c>
      <c r="D174" s="11">
        <f t="shared" si="15"/>
        <v>5698873.6500000004</v>
      </c>
      <c r="E174" s="11">
        <f t="shared" si="16"/>
        <v>5698873.6500000004</v>
      </c>
      <c r="F174" s="15"/>
      <c r="G174" s="15"/>
      <c r="H174" s="15"/>
      <c r="I174" s="15"/>
      <c r="J174" s="15"/>
      <c r="K174" s="15"/>
      <c r="L174" s="16"/>
      <c r="M174" s="15"/>
      <c r="N174" s="15"/>
      <c r="O174" s="15"/>
      <c r="P174" s="15"/>
      <c r="Q174" s="15"/>
      <c r="R174" s="15">
        <v>465</v>
      </c>
      <c r="S174" s="15">
        <f>3487500+1797498.65</f>
        <v>5284998.6500000004</v>
      </c>
      <c r="T174" s="15"/>
      <c r="U174" s="15"/>
      <c r="V174" s="15">
        <v>413875</v>
      </c>
    </row>
    <row r="175" spans="1:22" ht="12.75" customHeight="1" x14ac:dyDescent="0.2">
      <c r="A175" s="12">
        <v>153</v>
      </c>
      <c r="B175" s="21" t="s">
        <v>132</v>
      </c>
      <c r="C175" s="11">
        <v>1135.0999999999999</v>
      </c>
      <c r="D175" s="11">
        <f t="shared" si="15"/>
        <v>4437655</v>
      </c>
      <c r="E175" s="11">
        <f t="shared" si="16"/>
        <v>4437655</v>
      </c>
      <c r="F175" s="15"/>
      <c r="G175" s="15"/>
      <c r="H175" s="15"/>
      <c r="I175" s="15"/>
      <c r="J175" s="15"/>
      <c r="K175" s="15"/>
      <c r="L175" s="16"/>
      <c r="M175" s="15"/>
      <c r="N175" s="15"/>
      <c r="O175" s="15"/>
      <c r="P175" s="15"/>
      <c r="Q175" s="15"/>
      <c r="R175" s="15">
        <v>507</v>
      </c>
      <c r="S175" s="15">
        <f>3799500+180000</f>
        <v>3979500</v>
      </c>
      <c r="T175" s="15"/>
      <c r="U175" s="15"/>
      <c r="V175" s="15">
        <v>458155</v>
      </c>
    </row>
    <row r="176" spans="1:22" ht="12.75" customHeight="1" x14ac:dyDescent="0.2">
      <c r="A176" s="12">
        <v>154</v>
      </c>
      <c r="B176" s="21" t="s">
        <v>107</v>
      </c>
      <c r="C176" s="11">
        <v>5637.16</v>
      </c>
      <c r="D176" s="11">
        <f t="shared" si="15"/>
        <v>41660338</v>
      </c>
      <c r="E176" s="11">
        <f t="shared" si="16"/>
        <v>41660338</v>
      </c>
      <c r="F176" s="15"/>
      <c r="G176" s="15"/>
      <c r="H176" s="15"/>
      <c r="I176" s="15"/>
      <c r="J176" s="15">
        <v>1000000</v>
      </c>
      <c r="K176" s="15"/>
      <c r="L176" s="16"/>
      <c r="M176" s="15"/>
      <c r="N176" s="15"/>
      <c r="O176" s="15"/>
      <c r="P176" s="15">
        <v>806</v>
      </c>
      <c r="Q176" s="15">
        <v>22565200</v>
      </c>
      <c r="R176" s="15">
        <v>2075</v>
      </c>
      <c r="S176" s="15">
        <f>14563550-80000</f>
        <v>14483550</v>
      </c>
      <c r="T176" s="15"/>
      <c r="U176" s="15"/>
      <c r="V176" s="15">
        <v>3611588</v>
      </c>
    </row>
    <row r="177" spans="1:22" ht="12.75" customHeight="1" x14ac:dyDescent="0.2">
      <c r="A177" s="12">
        <v>155</v>
      </c>
      <c r="B177" s="21" t="s">
        <v>36</v>
      </c>
      <c r="C177" s="11">
        <v>10108.34</v>
      </c>
      <c r="D177" s="11">
        <f t="shared" si="15"/>
        <v>35438890</v>
      </c>
      <c r="E177" s="11">
        <f t="shared" si="16"/>
        <v>35438890</v>
      </c>
      <c r="F177" s="15"/>
      <c r="G177" s="15"/>
      <c r="H177" s="15"/>
      <c r="I177" s="15"/>
      <c r="J177" s="15">
        <v>1000000</v>
      </c>
      <c r="K177" s="15"/>
      <c r="L177" s="16"/>
      <c r="M177" s="15"/>
      <c r="N177" s="15"/>
      <c r="O177" s="27"/>
      <c r="P177" s="15"/>
      <c r="Q177" s="15"/>
      <c r="R177" s="15">
        <v>3769</v>
      </c>
      <c r="S177" s="15">
        <f>31421000-70000</f>
        <v>31351000</v>
      </c>
      <c r="T177" s="15"/>
      <c r="U177" s="15"/>
      <c r="V177" s="15">
        <v>3087890</v>
      </c>
    </row>
    <row r="178" spans="1:22" ht="12.75" customHeight="1" x14ac:dyDescent="0.2">
      <c r="A178" s="12">
        <v>156</v>
      </c>
      <c r="B178" s="21" t="s">
        <v>38</v>
      </c>
      <c r="C178" s="11">
        <v>1570.46</v>
      </c>
      <c r="D178" s="11">
        <f t="shared" si="15"/>
        <v>22694780</v>
      </c>
      <c r="E178" s="11">
        <f t="shared" si="16"/>
        <v>22694780</v>
      </c>
      <c r="F178" s="15">
        <v>2000000</v>
      </c>
      <c r="G178" s="15">
        <v>2000000</v>
      </c>
      <c r="H178" s="15"/>
      <c r="I178" s="15"/>
      <c r="J178" s="15">
        <v>2000000</v>
      </c>
      <c r="K178" s="15">
        <v>2000000</v>
      </c>
      <c r="L178" s="16"/>
      <c r="M178" s="15"/>
      <c r="N178" s="15">
        <v>557</v>
      </c>
      <c r="O178" s="27">
        <f>14482000-7000000-340000</f>
        <v>7142000</v>
      </c>
      <c r="P178" s="15"/>
      <c r="Q178" s="15"/>
      <c r="R178" s="15">
        <v>740</v>
      </c>
      <c r="S178" s="15">
        <f>5660000+340000-500000</f>
        <v>5500000</v>
      </c>
      <c r="T178" s="15"/>
      <c r="U178" s="15"/>
      <c r="V178" s="15">
        <v>2052780.0000000002</v>
      </c>
    </row>
    <row r="179" spans="1:22" ht="12.75" customHeight="1" x14ac:dyDescent="0.2">
      <c r="A179" s="12">
        <v>157</v>
      </c>
      <c r="B179" s="21" t="s">
        <v>453</v>
      </c>
      <c r="C179" s="11">
        <v>5410.3</v>
      </c>
      <c r="D179" s="11">
        <f t="shared" si="15"/>
        <v>58496235</v>
      </c>
      <c r="E179" s="11">
        <f t="shared" si="16"/>
        <v>58496235</v>
      </c>
      <c r="F179" s="15"/>
      <c r="G179" s="15"/>
      <c r="H179" s="15"/>
      <c r="I179" s="15"/>
      <c r="J179" s="15">
        <v>1000000</v>
      </c>
      <c r="K179" s="15"/>
      <c r="L179" s="16">
        <v>2</v>
      </c>
      <c r="M179" s="15">
        <v>9500000</v>
      </c>
      <c r="N179" s="15">
        <v>729</v>
      </c>
      <c r="O179" s="27">
        <v>18954000</v>
      </c>
      <c r="P179" s="15"/>
      <c r="Q179" s="15"/>
      <c r="R179" s="15">
        <v>3545</v>
      </c>
      <c r="S179" s="15">
        <f>23587500-100000</f>
        <v>23487500</v>
      </c>
      <c r="T179" s="15"/>
      <c r="U179" s="15"/>
      <c r="V179" s="15">
        <v>5554735</v>
      </c>
    </row>
    <row r="180" spans="1:22" ht="12.75" customHeight="1" x14ac:dyDescent="0.2">
      <c r="A180" s="12">
        <v>158</v>
      </c>
      <c r="B180" s="21" t="s">
        <v>454</v>
      </c>
      <c r="C180" s="11">
        <v>903.43</v>
      </c>
      <c r="D180" s="11">
        <f t="shared" si="15"/>
        <v>16056510</v>
      </c>
      <c r="E180" s="11">
        <f t="shared" si="16"/>
        <v>16056510</v>
      </c>
      <c r="F180" s="15">
        <v>1000000</v>
      </c>
      <c r="G180" s="15">
        <v>2000000</v>
      </c>
      <c r="H180" s="15"/>
      <c r="I180" s="15"/>
      <c r="J180" s="15">
        <v>2000000</v>
      </c>
      <c r="K180" s="15">
        <v>2000000</v>
      </c>
      <c r="L180" s="16"/>
      <c r="M180" s="15"/>
      <c r="N180" s="15">
        <v>424</v>
      </c>
      <c r="O180" s="27">
        <f>11024000-7000000</f>
        <v>4024000</v>
      </c>
      <c r="P180" s="15"/>
      <c r="Q180" s="15"/>
      <c r="R180" s="15">
        <v>482</v>
      </c>
      <c r="S180" s="15">
        <v>3615000</v>
      </c>
      <c r="T180" s="15"/>
      <c r="U180" s="15"/>
      <c r="V180" s="15">
        <v>1417510</v>
      </c>
    </row>
    <row r="181" spans="1:22" ht="12.75" customHeight="1" x14ac:dyDescent="0.2">
      <c r="A181" s="12">
        <v>159</v>
      </c>
      <c r="B181" s="21" t="s">
        <v>374</v>
      </c>
      <c r="C181" s="11">
        <v>12911.81</v>
      </c>
      <c r="D181" s="11">
        <f t="shared" si="15"/>
        <v>60854140</v>
      </c>
      <c r="E181" s="11">
        <f t="shared" si="16"/>
        <v>60854140</v>
      </c>
      <c r="F181" s="15"/>
      <c r="G181" s="15"/>
      <c r="H181" s="15"/>
      <c r="I181" s="15"/>
      <c r="J181" s="15"/>
      <c r="K181" s="15"/>
      <c r="L181" s="16"/>
      <c r="M181" s="15"/>
      <c r="N181" s="15">
        <v>1159</v>
      </c>
      <c r="O181" s="27">
        <v>30134000</v>
      </c>
      <c r="P181" s="15"/>
      <c r="Q181" s="15"/>
      <c r="R181" s="15">
        <v>3668</v>
      </c>
      <c r="S181" s="15">
        <v>25512000</v>
      </c>
      <c r="T181" s="15"/>
      <c r="U181" s="15"/>
      <c r="V181" s="15">
        <v>5208140</v>
      </c>
    </row>
    <row r="182" spans="1:22" ht="12.75" customHeight="1" x14ac:dyDescent="0.2">
      <c r="A182" s="12">
        <v>160</v>
      </c>
      <c r="B182" s="21" t="s">
        <v>97</v>
      </c>
      <c r="C182" s="11">
        <v>2639.33</v>
      </c>
      <c r="D182" s="11">
        <f t="shared" si="15"/>
        <v>28736480</v>
      </c>
      <c r="E182" s="11">
        <f t="shared" si="16"/>
        <v>28736480</v>
      </c>
      <c r="F182" s="15">
        <v>2000000</v>
      </c>
      <c r="G182" s="15">
        <v>2000000</v>
      </c>
      <c r="H182" s="15"/>
      <c r="I182" s="15"/>
      <c r="J182" s="15">
        <v>2000000</v>
      </c>
      <c r="K182" s="15">
        <v>2000000</v>
      </c>
      <c r="L182" s="16"/>
      <c r="M182" s="15"/>
      <c r="N182" s="15">
        <v>972</v>
      </c>
      <c r="O182" s="27">
        <f>25272000-7000000-6300000</f>
        <v>11972000</v>
      </c>
      <c r="P182" s="15"/>
      <c r="Q182" s="15"/>
      <c r="R182" s="15">
        <v>1923</v>
      </c>
      <c r="S182" s="15">
        <f>6300000-50000</f>
        <v>6250000</v>
      </c>
      <c r="T182" s="15"/>
      <c r="U182" s="15"/>
      <c r="V182" s="15">
        <v>2514480</v>
      </c>
    </row>
    <row r="183" spans="1:22" ht="12.75" customHeight="1" x14ac:dyDescent="0.2">
      <c r="A183" s="12">
        <v>161</v>
      </c>
      <c r="B183" s="21" t="s">
        <v>368</v>
      </c>
      <c r="C183" s="11">
        <v>4086</v>
      </c>
      <c r="D183" s="11">
        <f t="shared" si="15"/>
        <v>50028540</v>
      </c>
      <c r="E183" s="11">
        <f t="shared" si="16"/>
        <v>50028540</v>
      </c>
      <c r="F183" s="15">
        <v>2000000</v>
      </c>
      <c r="G183" s="15">
        <v>2500000</v>
      </c>
      <c r="H183" s="15"/>
      <c r="I183" s="15"/>
      <c r="J183" s="15">
        <v>2300000</v>
      </c>
      <c r="K183" s="15">
        <v>2000000</v>
      </c>
      <c r="L183" s="16"/>
      <c r="M183" s="15"/>
      <c r="N183" s="15">
        <v>904</v>
      </c>
      <c r="O183" s="27">
        <f>23504000-5000000</f>
        <v>18504000</v>
      </c>
      <c r="P183" s="15"/>
      <c r="Q183" s="15"/>
      <c r="R183" s="15">
        <v>2478</v>
      </c>
      <c r="S183" s="15">
        <f>21302000-2800000-84000</f>
        <v>18418000</v>
      </c>
      <c r="T183" s="15"/>
      <c r="U183" s="15"/>
      <c r="V183" s="15">
        <v>4306540</v>
      </c>
    </row>
    <row r="184" spans="1:22" s="1" customFormat="1" ht="12.75" customHeight="1" outlineLevel="1" x14ac:dyDescent="0.25">
      <c r="A184" s="19" t="s">
        <v>40</v>
      </c>
      <c r="B184" s="20"/>
      <c r="C184" s="17"/>
      <c r="D184" s="11"/>
      <c r="E184" s="11"/>
      <c r="F184" s="17"/>
      <c r="G184" s="17"/>
      <c r="H184" s="17"/>
      <c r="I184" s="17"/>
      <c r="J184" s="17"/>
      <c r="K184" s="17"/>
      <c r="L184" s="18"/>
      <c r="M184" s="17"/>
      <c r="N184" s="17"/>
      <c r="O184" s="15"/>
      <c r="P184" s="15"/>
      <c r="Q184" s="15"/>
      <c r="R184" s="15"/>
      <c r="S184" s="15"/>
      <c r="T184" s="15"/>
      <c r="U184" s="15"/>
      <c r="V184" s="15"/>
    </row>
    <row r="185" spans="1:22" s="1" customFormat="1" ht="12.75" customHeight="1" outlineLevel="1" x14ac:dyDescent="0.25">
      <c r="A185" s="19" t="s">
        <v>41</v>
      </c>
      <c r="B185" s="20"/>
      <c r="C185" s="17"/>
      <c r="D185" s="11"/>
      <c r="E185" s="11"/>
      <c r="F185" s="17"/>
      <c r="G185" s="17"/>
      <c r="H185" s="17"/>
      <c r="I185" s="17"/>
      <c r="J185" s="17"/>
      <c r="K185" s="17"/>
      <c r="L185" s="18"/>
      <c r="M185" s="17"/>
      <c r="N185" s="17"/>
      <c r="O185" s="15"/>
      <c r="P185" s="15"/>
      <c r="Q185" s="15"/>
      <c r="R185" s="15"/>
      <c r="S185" s="15"/>
      <c r="T185" s="15"/>
      <c r="U185" s="15"/>
      <c r="V185" s="15"/>
    </row>
    <row r="186" spans="1:22" ht="12.75" customHeight="1" x14ac:dyDescent="0.2">
      <c r="A186" s="12">
        <v>162</v>
      </c>
      <c r="B186" s="21" t="s">
        <v>181</v>
      </c>
      <c r="C186" s="11">
        <v>2996.8</v>
      </c>
      <c r="D186" s="11">
        <f t="shared" ref="D186:D190" si="17">F186+G186+H186+I186+J186+K186+M186+O186+Q186+S186+U186+V186</f>
        <v>7258497</v>
      </c>
      <c r="E186" s="11">
        <f>D186</f>
        <v>7258497</v>
      </c>
      <c r="F186" s="15"/>
      <c r="G186" s="26">
        <f>1920000-70000</f>
        <v>1850000</v>
      </c>
      <c r="H186" s="15"/>
      <c r="I186" s="15"/>
      <c r="J186" s="26">
        <v>1680000</v>
      </c>
      <c r="K186" s="26">
        <v>1680000</v>
      </c>
      <c r="L186" s="16"/>
      <c r="M186" s="15"/>
      <c r="N186" s="15"/>
      <c r="O186" s="28"/>
      <c r="P186" s="15"/>
      <c r="Q186" s="28"/>
      <c r="R186" s="28">
        <v>4970.8599999999997</v>
      </c>
      <c r="S186" s="28">
        <v>1379172</v>
      </c>
      <c r="T186" s="15"/>
      <c r="U186" s="28"/>
      <c r="V186" s="15">
        <v>669325</v>
      </c>
    </row>
    <row r="187" spans="1:22" ht="12.75" customHeight="1" x14ac:dyDescent="0.2">
      <c r="A187" s="12">
        <v>163</v>
      </c>
      <c r="B187" s="21" t="s">
        <v>108</v>
      </c>
      <c r="C187" s="11">
        <v>2842.6</v>
      </c>
      <c r="D187" s="11">
        <f t="shared" si="17"/>
        <v>10128143</v>
      </c>
      <c r="E187" s="11">
        <f>D187</f>
        <v>10128143</v>
      </c>
      <c r="F187" s="15"/>
      <c r="G187" s="26">
        <v>1920000</v>
      </c>
      <c r="H187" s="15"/>
      <c r="I187" s="15"/>
      <c r="J187" s="26">
        <v>1680000</v>
      </c>
      <c r="K187" s="26">
        <v>1680000</v>
      </c>
      <c r="L187" s="16"/>
      <c r="M187" s="15"/>
      <c r="N187" s="15"/>
      <c r="O187" s="28"/>
      <c r="P187" s="28">
        <v>674.6</v>
      </c>
      <c r="Q187" s="28">
        <v>2600000</v>
      </c>
      <c r="R187" s="28">
        <v>2199</v>
      </c>
      <c r="S187" s="28">
        <v>1329306</v>
      </c>
      <c r="T187" s="28"/>
      <c r="U187" s="28"/>
      <c r="V187" s="15">
        <v>918837</v>
      </c>
    </row>
    <row r="188" spans="1:22" ht="12.75" customHeight="1" x14ac:dyDescent="0.2">
      <c r="A188" s="12">
        <v>164</v>
      </c>
      <c r="B188" s="21" t="s">
        <v>109</v>
      </c>
      <c r="C188" s="11">
        <v>3118.4</v>
      </c>
      <c r="D188" s="11">
        <f t="shared" si="17"/>
        <v>11386269</v>
      </c>
      <c r="E188" s="11">
        <f>D188</f>
        <v>11386269</v>
      </c>
      <c r="F188" s="15"/>
      <c r="G188" s="26">
        <v>1248687</v>
      </c>
      <c r="H188" s="15"/>
      <c r="I188" s="15"/>
      <c r="J188" s="26">
        <v>1920000</v>
      </c>
      <c r="K188" s="26"/>
      <c r="L188" s="16"/>
      <c r="M188" s="15"/>
      <c r="N188" s="28">
        <v>927</v>
      </c>
      <c r="O188" s="28">
        <f>5400000-37000</f>
        <v>5363000</v>
      </c>
      <c r="P188" s="15"/>
      <c r="Q188" s="28"/>
      <c r="R188" s="28">
        <v>1925.76</v>
      </c>
      <c r="S188" s="28">
        <v>1960000</v>
      </c>
      <c r="T188" s="15"/>
      <c r="U188" s="28"/>
      <c r="V188" s="15">
        <v>894582</v>
      </c>
    </row>
    <row r="189" spans="1:22" ht="12.75" customHeight="1" x14ac:dyDescent="0.2">
      <c r="A189" s="12">
        <v>165</v>
      </c>
      <c r="B189" s="21" t="s">
        <v>334</v>
      </c>
      <c r="C189" s="11">
        <v>1434.9</v>
      </c>
      <c r="D189" s="11">
        <f t="shared" si="17"/>
        <v>9988189</v>
      </c>
      <c r="E189" s="11">
        <f>D189</f>
        <v>9988189</v>
      </c>
      <c r="F189" s="15"/>
      <c r="G189" s="26">
        <v>1440000</v>
      </c>
      <c r="H189" s="15"/>
      <c r="I189" s="15"/>
      <c r="J189" s="26">
        <v>2280000</v>
      </c>
      <c r="K189" s="26"/>
      <c r="L189" s="16"/>
      <c r="M189" s="15"/>
      <c r="N189" s="15">
        <v>799</v>
      </c>
      <c r="O189" s="15">
        <v>4344876</v>
      </c>
      <c r="P189" s="15"/>
      <c r="Q189" s="15"/>
      <c r="R189" s="28">
        <v>1580.12</v>
      </c>
      <c r="S189" s="28">
        <v>1098600</v>
      </c>
      <c r="T189" s="28"/>
      <c r="U189" s="28"/>
      <c r="V189" s="15">
        <v>824713</v>
      </c>
    </row>
    <row r="190" spans="1:22" ht="12.75" customHeight="1" x14ac:dyDescent="0.2">
      <c r="A190" s="12">
        <v>166</v>
      </c>
      <c r="B190" s="21" t="s">
        <v>39</v>
      </c>
      <c r="C190" s="11">
        <v>1872.3</v>
      </c>
      <c r="D190" s="11">
        <f t="shared" si="17"/>
        <v>9988189</v>
      </c>
      <c r="E190" s="11">
        <f>D190</f>
        <v>9988189</v>
      </c>
      <c r="F190" s="11"/>
      <c r="G190" s="26">
        <v>1440000</v>
      </c>
      <c r="H190" s="11"/>
      <c r="I190" s="11"/>
      <c r="J190" s="26">
        <v>2280000</v>
      </c>
      <c r="K190" s="26"/>
      <c r="L190" s="13"/>
      <c r="M190" s="15"/>
      <c r="N190" s="28">
        <v>578</v>
      </c>
      <c r="O190" s="28">
        <v>4344876</v>
      </c>
      <c r="P190" s="11"/>
      <c r="Q190" s="15"/>
      <c r="R190" s="28">
        <v>1580.12</v>
      </c>
      <c r="S190" s="28">
        <v>1098600</v>
      </c>
      <c r="T190" s="15"/>
      <c r="U190" s="15"/>
      <c r="V190" s="15">
        <v>824713</v>
      </c>
    </row>
    <row r="191" spans="1:22" s="1" customFormat="1" ht="12.75" customHeight="1" outlineLevel="1" x14ac:dyDescent="0.25">
      <c r="A191" s="19" t="s">
        <v>42</v>
      </c>
      <c r="B191" s="20"/>
      <c r="C191" s="17"/>
      <c r="D191" s="11"/>
      <c r="E191" s="11"/>
      <c r="F191" s="17"/>
      <c r="G191" s="17"/>
      <c r="H191" s="17"/>
      <c r="I191" s="17"/>
      <c r="J191" s="17"/>
      <c r="K191" s="17"/>
      <c r="L191" s="18"/>
      <c r="M191" s="17"/>
      <c r="N191" s="17"/>
      <c r="O191" s="15"/>
      <c r="P191" s="15"/>
      <c r="Q191" s="15"/>
      <c r="R191" s="15"/>
      <c r="S191" s="15"/>
      <c r="T191" s="15"/>
      <c r="U191" s="15"/>
      <c r="V191" s="15"/>
    </row>
    <row r="192" spans="1:22" s="1" customFormat="1" ht="12.75" customHeight="1" outlineLevel="1" x14ac:dyDescent="0.25">
      <c r="A192" s="19" t="s">
        <v>52</v>
      </c>
      <c r="B192" s="20"/>
      <c r="C192" s="17"/>
      <c r="D192" s="11"/>
      <c r="E192" s="11"/>
      <c r="F192" s="17"/>
      <c r="G192" s="17"/>
      <c r="H192" s="17"/>
      <c r="I192" s="17"/>
      <c r="J192" s="17"/>
      <c r="K192" s="17"/>
      <c r="L192" s="18"/>
      <c r="M192" s="17"/>
      <c r="N192" s="17"/>
      <c r="O192" s="15"/>
      <c r="P192" s="15"/>
      <c r="Q192" s="15"/>
      <c r="R192" s="15"/>
      <c r="S192" s="15"/>
      <c r="T192" s="15"/>
      <c r="U192" s="15"/>
      <c r="V192" s="15"/>
    </row>
    <row r="193" spans="1:22" ht="12.75" customHeight="1" x14ac:dyDescent="0.2">
      <c r="A193" s="12">
        <v>167</v>
      </c>
      <c r="B193" s="21" t="s">
        <v>114</v>
      </c>
      <c r="C193" s="11">
        <v>782.9</v>
      </c>
      <c r="D193" s="11">
        <f t="shared" ref="D193:D199" si="18">F193+G193+H193+I193+J193+K193+M193+O193+Q193+S193+U193+V193</f>
        <v>15413500</v>
      </c>
      <c r="E193" s="11">
        <f t="shared" ref="E193:E199" si="19">D193</f>
        <v>15413500</v>
      </c>
      <c r="F193" s="15">
        <v>1500000</v>
      </c>
      <c r="G193" s="15"/>
      <c r="H193" s="15"/>
      <c r="I193" s="15"/>
      <c r="J193" s="15">
        <v>3150000</v>
      </c>
      <c r="K193" s="15">
        <v>2750000</v>
      </c>
      <c r="L193" s="16"/>
      <c r="M193" s="15"/>
      <c r="N193" s="15">
        <v>583.9</v>
      </c>
      <c r="O193" s="15">
        <f>3500000-100000</f>
        <v>3400000</v>
      </c>
      <c r="P193" s="15">
        <v>370.1</v>
      </c>
      <c r="Q193" s="15">
        <f>2500000-50000</f>
        <v>2450000</v>
      </c>
      <c r="R193" s="15">
        <v>659.4</v>
      </c>
      <c r="S193" s="15">
        <v>1000000</v>
      </c>
      <c r="T193" s="15"/>
      <c r="U193" s="15"/>
      <c r="V193" s="15">
        <v>1163500</v>
      </c>
    </row>
    <row r="194" spans="1:22" ht="12.75" customHeight="1" x14ac:dyDescent="0.2">
      <c r="A194" s="12">
        <v>168</v>
      </c>
      <c r="B194" s="21" t="s">
        <v>43</v>
      </c>
      <c r="C194" s="11">
        <v>798.6</v>
      </c>
      <c r="D194" s="11">
        <f t="shared" si="18"/>
        <v>15550000</v>
      </c>
      <c r="E194" s="11">
        <f t="shared" si="19"/>
        <v>15550000</v>
      </c>
      <c r="F194" s="15">
        <v>1500000</v>
      </c>
      <c r="G194" s="15"/>
      <c r="H194" s="15"/>
      <c r="I194" s="15"/>
      <c r="J194" s="15">
        <v>3150000</v>
      </c>
      <c r="K194" s="15">
        <v>2750000</v>
      </c>
      <c r="L194" s="16"/>
      <c r="M194" s="15"/>
      <c r="N194" s="15">
        <v>431.33</v>
      </c>
      <c r="O194" s="15">
        <f>3500000-41000</f>
        <v>3459000</v>
      </c>
      <c r="P194" s="15">
        <v>144.80000000000001</v>
      </c>
      <c r="Q194" s="15">
        <v>2500000</v>
      </c>
      <c r="R194" s="15">
        <v>658</v>
      </c>
      <c r="S194" s="15">
        <v>1000000</v>
      </c>
      <c r="T194" s="15"/>
      <c r="U194" s="15"/>
      <c r="V194" s="15">
        <v>1191000</v>
      </c>
    </row>
    <row r="195" spans="1:22" ht="12.75" customHeight="1" x14ac:dyDescent="0.2">
      <c r="A195" s="12">
        <v>169</v>
      </c>
      <c r="B195" s="21" t="s">
        <v>115</v>
      </c>
      <c r="C195" s="11">
        <v>541.20000000000005</v>
      </c>
      <c r="D195" s="11">
        <f t="shared" si="18"/>
        <v>14772292.120000001</v>
      </c>
      <c r="E195" s="11">
        <f t="shared" si="19"/>
        <v>14772292.120000001</v>
      </c>
      <c r="F195" s="15">
        <v>2000000</v>
      </c>
      <c r="G195" s="15"/>
      <c r="H195" s="15"/>
      <c r="I195" s="15"/>
      <c r="J195" s="15">
        <f>3150000-100000-213735.96</f>
        <v>2836264.04</v>
      </c>
      <c r="K195" s="15">
        <f>2800000-50000-213735.96</f>
        <v>2536264.04</v>
      </c>
      <c r="L195" s="16"/>
      <c r="M195" s="15"/>
      <c r="N195" s="15">
        <v>583.9</v>
      </c>
      <c r="O195" s="15">
        <v>2000000</v>
      </c>
      <c r="P195" s="15">
        <v>708.6</v>
      </c>
      <c r="Q195" s="15">
        <f>2450000-213735.96</f>
        <v>2236264.04</v>
      </c>
      <c r="R195" s="15">
        <v>590.20000000000005</v>
      </c>
      <c r="S195" s="15">
        <v>2000000</v>
      </c>
      <c r="T195" s="15"/>
      <c r="U195" s="15"/>
      <c r="V195" s="15">
        <v>1163500</v>
      </c>
    </row>
    <row r="196" spans="1:22" ht="12.75" customHeight="1" x14ac:dyDescent="0.2">
      <c r="A196" s="12">
        <v>170</v>
      </c>
      <c r="B196" s="21" t="s">
        <v>110</v>
      </c>
      <c r="C196" s="11">
        <v>798.6</v>
      </c>
      <c r="D196" s="11">
        <f t="shared" si="18"/>
        <v>16191207.870000001</v>
      </c>
      <c r="E196" s="11">
        <f t="shared" si="19"/>
        <v>16191207.870000001</v>
      </c>
      <c r="F196" s="15">
        <f>1500000+641207.87</f>
        <v>2141207.87</v>
      </c>
      <c r="G196" s="15"/>
      <c r="H196" s="15"/>
      <c r="I196" s="15"/>
      <c r="J196" s="15">
        <v>3150000</v>
      </c>
      <c r="K196" s="15">
        <v>2750000</v>
      </c>
      <c r="L196" s="16"/>
      <c r="M196" s="15"/>
      <c r="N196" s="15">
        <v>431.33</v>
      </c>
      <c r="O196" s="15">
        <v>3500000</v>
      </c>
      <c r="P196" s="15">
        <v>144.80000000000001</v>
      </c>
      <c r="Q196" s="15">
        <f>2500000-40000</f>
        <v>2460000</v>
      </c>
      <c r="R196" s="15">
        <v>658</v>
      </c>
      <c r="S196" s="15">
        <v>1000000</v>
      </c>
      <c r="T196" s="15"/>
      <c r="U196" s="15"/>
      <c r="V196" s="15">
        <v>1190000</v>
      </c>
    </row>
    <row r="197" spans="1:22" ht="12.75" customHeight="1" x14ac:dyDescent="0.2">
      <c r="A197" s="12">
        <v>171</v>
      </c>
      <c r="B197" s="21" t="s">
        <v>111</v>
      </c>
      <c r="C197" s="11">
        <v>798.6</v>
      </c>
      <c r="D197" s="11">
        <f t="shared" si="18"/>
        <v>15550000</v>
      </c>
      <c r="E197" s="11">
        <f t="shared" si="19"/>
        <v>15550000</v>
      </c>
      <c r="F197" s="15">
        <v>1500000</v>
      </c>
      <c r="G197" s="15"/>
      <c r="H197" s="15"/>
      <c r="I197" s="15"/>
      <c r="J197" s="15">
        <v>3150000</v>
      </c>
      <c r="K197" s="15">
        <v>2750000</v>
      </c>
      <c r="L197" s="16"/>
      <c r="M197" s="15"/>
      <c r="N197" s="15">
        <v>431.33</v>
      </c>
      <c r="O197" s="15">
        <v>3500000</v>
      </c>
      <c r="P197" s="15">
        <v>144.80000000000001</v>
      </c>
      <c r="Q197" s="15">
        <f>2500000-40000</f>
        <v>2460000</v>
      </c>
      <c r="R197" s="15">
        <v>658.6</v>
      </c>
      <c r="S197" s="15">
        <v>1000000</v>
      </c>
      <c r="T197" s="15"/>
      <c r="U197" s="15"/>
      <c r="V197" s="15">
        <v>1190000</v>
      </c>
    </row>
    <row r="198" spans="1:22" ht="12.75" customHeight="1" x14ac:dyDescent="0.2">
      <c r="A198" s="12">
        <v>172</v>
      </c>
      <c r="B198" s="21" t="s">
        <v>112</v>
      </c>
      <c r="C198" s="11">
        <v>798.6</v>
      </c>
      <c r="D198" s="11">
        <f t="shared" si="18"/>
        <v>15550000</v>
      </c>
      <c r="E198" s="11">
        <f t="shared" si="19"/>
        <v>15550000</v>
      </c>
      <c r="F198" s="15">
        <v>1500000</v>
      </c>
      <c r="G198" s="15"/>
      <c r="H198" s="15"/>
      <c r="I198" s="15"/>
      <c r="J198" s="15">
        <v>3150000</v>
      </c>
      <c r="K198" s="15">
        <v>2750000</v>
      </c>
      <c r="L198" s="16"/>
      <c r="M198" s="15"/>
      <c r="N198" s="15">
        <v>431.33</v>
      </c>
      <c r="O198" s="15">
        <v>3500000</v>
      </c>
      <c r="P198" s="15">
        <v>144.80000000000001</v>
      </c>
      <c r="Q198" s="15">
        <f>2500000-40000</f>
        <v>2460000</v>
      </c>
      <c r="R198" s="15">
        <v>658</v>
      </c>
      <c r="S198" s="15">
        <v>1000000</v>
      </c>
      <c r="T198" s="15"/>
      <c r="U198" s="15"/>
      <c r="V198" s="15">
        <v>1190000</v>
      </c>
    </row>
    <row r="199" spans="1:22" ht="12.75" customHeight="1" x14ac:dyDescent="0.2">
      <c r="A199" s="12">
        <v>173</v>
      </c>
      <c r="B199" s="21" t="s">
        <v>113</v>
      </c>
      <c r="C199" s="11">
        <v>804.8</v>
      </c>
      <c r="D199" s="11">
        <f t="shared" si="18"/>
        <v>15550000</v>
      </c>
      <c r="E199" s="11">
        <f t="shared" si="19"/>
        <v>15550000</v>
      </c>
      <c r="F199" s="15">
        <v>1500000</v>
      </c>
      <c r="G199" s="15"/>
      <c r="H199" s="15"/>
      <c r="I199" s="15"/>
      <c r="J199" s="15">
        <v>3150000</v>
      </c>
      <c r="K199" s="15">
        <v>2750000</v>
      </c>
      <c r="L199" s="16"/>
      <c r="M199" s="15"/>
      <c r="N199" s="15">
        <v>431.33</v>
      </c>
      <c r="O199" s="15">
        <v>3500000</v>
      </c>
      <c r="P199" s="15">
        <v>301.35000000000002</v>
      </c>
      <c r="Q199" s="15">
        <f>2500000-40000</f>
        <v>2460000</v>
      </c>
      <c r="R199" s="15">
        <v>687.4</v>
      </c>
      <c r="S199" s="15">
        <v>1000000</v>
      </c>
      <c r="T199" s="15"/>
      <c r="U199" s="15"/>
      <c r="V199" s="15">
        <v>1190000</v>
      </c>
    </row>
    <row r="200" spans="1:22" ht="12.75" customHeight="1" x14ac:dyDescent="0.2">
      <c r="A200" s="19" t="s">
        <v>182</v>
      </c>
      <c r="B200" s="20"/>
      <c r="C200" s="17"/>
      <c r="D200" s="11"/>
      <c r="E200" s="11"/>
      <c r="F200" s="17"/>
      <c r="G200" s="17"/>
      <c r="H200" s="17"/>
      <c r="I200" s="17"/>
      <c r="J200" s="17"/>
      <c r="K200" s="17"/>
      <c r="L200" s="18"/>
      <c r="M200" s="17"/>
      <c r="N200" s="17"/>
      <c r="O200" s="17"/>
      <c r="P200" s="17"/>
      <c r="Q200" s="17"/>
      <c r="R200" s="17"/>
      <c r="S200" s="17"/>
      <c r="T200" s="17"/>
      <c r="U200" s="17"/>
      <c r="V200" s="15"/>
    </row>
    <row r="201" spans="1:22" s="1" customFormat="1" ht="12.75" customHeight="1" outlineLevel="1" x14ac:dyDescent="0.25">
      <c r="A201" s="19" t="s">
        <v>63</v>
      </c>
      <c r="B201" s="20"/>
      <c r="C201" s="17"/>
      <c r="D201" s="11"/>
      <c r="E201" s="11"/>
      <c r="F201" s="17"/>
      <c r="G201" s="17"/>
      <c r="H201" s="17"/>
      <c r="I201" s="17"/>
      <c r="J201" s="17"/>
      <c r="K201" s="17"/>
      <c r="L201" s="18"/>
      <c r="M201" s="17"/>
      <c r="N201" s="17"/>
      <c r="O201" s="15"/>
      <c r="P201" s="15"/>
      <c r="Q201" s="15"/>
      <c r="R201" s="15"/>
      <c r="S201" s="15"/>
      <c r="T201" s="15"/>
      <c r="U201" s="15"/>
      <c r="V201" s="15"/>
    </row>
    <row r="202" spans="1:22" s="4" customFormat="1" ht="12.75" customHeight="1" x14ac:dyDescent="0.2">
      <c r="A202" s="12">
        <v>174</v>
      </c>
      <c r="B202" s="21" t="s">
        <v>64</v>
      </c>
      <c r="C202" s="11">
        <v>1032.0999999999999</v>
      </c>
      <c r="D202" s="11">
        <f t="shared" ref="D202:D217" si="20">F202+G202+H202+I202+J202+K202+M202+O202+Q202+S202+U202+V202</f>
        <v>14163400</v>
      </c>
      <c r="E202" s="11">
        <f t="shared" ref="E202:E217" si="21">D202</f>
        <v>14163400</v>
      </c>
      <c r="F202" s="11"/>
      <c r="G202" s="11"/>
      <c r="H202" s="11"/>
      <c r="I202" s="15"/>
      <c r="J202" s="11">
        <v>2000000</v>
      </c>
      <c r="K202" s="11">
        <v>2000000</v>
      </c>
      <c r="L202" s="16"/>
      <c r="M202" s="15"/>
      <c r="N202" s="15"/>
      <c r="O202" s="15"/>
      <c r="P202" s="15"/>
      <c r="Q202" s="15"/>
      <c r="R202" s="15">
        <v>400</v>
      </c>
      <c r="S202" s="15">
        <f>9000000-2000000-2500000</f>
        <v>4500000</v>
      </c>
      <c r="T202" s="15">
        <v>100</v>
      </c>
      <c r="U202" s="15">
        <v>4500000</v>
      </c>
      <c r="V202" s="15">
        <v>1163400</v>
      </c>
    </row>
    <row r="203" spans="1:22" s="4" customFormat="1" ht="12.75" customHeight="1" x14ac:dyDescent="0.2">
      <c r="A203" s="12">
        <v>175</v>
      </c>
      <c r="B203" s="21" t="s">
        <v>65</v>
      </c>
      <c r="C203" s="11">
        <v>520</v>
      </c>
      <c r="D203" s="11">
        <f t="shared" si="20"/>
        <v>12377400</v>
      </c>
      <c r="E203" s="11">
        <f t="shared" si="21"/>
        <v>12377400</v>
      </c>
      <c r="F203" s="11">
        <v>1000000</v>
      </c>
      <c r="G203" s="11"/>
      <c r="H203" s="11"/>
      <c r="I203" s="15"/>
      <c r="J203" s="11">
        <f>2000000-50000</f>
        <v>1950000</v>
      </c>
      <c r="K203" s="11">
        <f>2000000-50000-47000</f>
        <v>1903000</v>
      </c>
      <c r="L203" s="16"/>
      <c r="M203" s="15"/>
      <c r="N203" s="15"/>
      <c r="O203" s="15"/>
      <c r="P203" s="15">
        <v>255</v>
      </c>
      <c r="Q203" s="15">
        <f>2000000-50000</f>
        <v>1950000</v>
      </c>
      <c r="R203" s="15">
        <v>400</v>
      </c>
      <c r="S203" s="15">
        <f>6620000-2000000-1300000-1000000-50000</f>
        <v>2270000</v>
      </c>
      <c r="T203" s="15">
        <v>100</v>
      </c>
      <c r="U203" s="15">
        <f>2300000-50000</f>
        <v>2250000</v>
      </c>
      <c r="V203" s="15">
        <v>1054400</v>
      </c>
    </row>
    <row r="204" spans="1:22" s="4" customFormat="1" ht="12.75" customHeight="1" x14ac:dyDescent="0.2">
      <c r="A204" s="12">
        <v>176</v>
      </c>
      <c r="B204" s="21" t="s">
        <v>66</v>
      </c>
      <c r="C204" s="11">
        <v>627.70000000000005</v>
      </c>
      <c r="D204" s="11">
        <f t="shared" si="20"/>
        <v>13674600</v>
      </c>
      <c r="E204" s="11">
        <f t="shared" si="21"/>
        <v>13674600</v>
      </c>
      <c r="F204" s="11">
        <v>2000000</v>
      </c>
      <c r="G204" s="11"/>
      <c r="H204" s="11"/>
      <c r="I204" s="15"/>
      <c r="J204" s="11">
        <f>2500000-73000</f>
        <v>2427000</v>
      </c>
      <c r="K204" s="11">
        <v>2000000</v>
      </c>
      <c r="L204" s="16"/>
      <c r="M204" s="15"/>
      <c r="N204" s="15"/>
      <c r="O204" s="15"/>
      <c r="P204" s="15">
        <v>255</v>
      </c>
      <c r="Q204" s="15">
        <f>25000000-6500000-1000000-10000000-5000000</f>
        <v>2500000</v>
      </c>
      <c r="R204" s="15">
        <v>400</v>
      </c>
      <c r="S204" s="15">
        <f>8780000-1500000-2000000-2500000-150000</f>
        <v>2630000</v>
      </c>
      <c r="T204" s="15">
        <v>100</v>
      </c>
      <c r="U204" s="15">
        <v>1000000</v>
      </c>
      <c r="V204" s="15">
        <v>1117600</v>
      </c>
    </row>
    <row r="205" spans="1:22" s="4" customFormat="1" ht="12.75" customHeight="1" x14ac:dyDescent="0.2">
      <c r="A205" s="12">
        <v>177</v>
      </c>
      <c r="B205" s="21" t="s">
        <v>67</v>
      </c>
      <c r="C205" s="11">
        <v>650</v>
      </c>
      <c r="D205" s="11">
        <f t="shared" si="20"/>
        <v>13696000</v>
      </c>
      <c r="E205" s="11">
        <f t="shared" si="21"/>
        <v>13696000</v>
      </c>
      <c r="F205" s="11">
        <f>2000000-65000</f>
        <v>1935000</v>
      </c>
      <c r="G205" s="11">
        <f>2000000-73000</f>
        <v>1927000</v>
      </c>
      <c r="H205" s="11"/>
      <c r="I205" s="15"/>
      <c r="J205" s="11">
        <v>2000000</v>
      </c>
      <c r="K205" s="11">
        <v>1000000</v>
      </c>
      <c r="L205" s="16"/>
      <c r="M205" s="15"/>
      <c r="N205" s="15"/>
      <c r="O205" s="15"/>
      <c r="P205" s="15">
        <v>255</v>
      </c>
      <c r="Q205" s="15">
        <f>2000000-70000</f>
        <v>1930000</v>
      </c>
      <c r="R205" s="15">
        <v>400</v>
      </c>
      <c r="S205" s="15">
        <f>8800000-6000000-150000</f>
        <v>2650000</v>
      </c>
      <c r="T205" s="15">
        <v>100</v>
      </c>
      <c r="U205" s="15">
        <v>1000000</v>
      </c>
      <c r="V205" s="15">
        <v>1254000</v>
      </c>
    </row>
    <row r="206" spans="1:22" s="4" customFormat="1" ht="12.75" customHeight="1" x14ac:dyDescent="0.2">
      <c r="A206" s="12">
        <v>178</v>
      </c>
      <c r="B206" s="21" t="s">
        <v>68</v>
      </c>
      <c r="C206" s="11">
        <v>700</v>
      </c>
      <c r="D206" s="11">
        <f t="shared" si="20"/>
        <v>9522500</v>
      </c>
      <c r="E206" s="11">
        <f t="shared" si="21"/>
        <v>9522500</v>
      </c>
      <c r="F206" s="11"/>
      <c r="G206" s="11"/>
      <c r="H206" s="11"/>
      <c r="I206" s="15"/>
      <c r="J206" s="11">
        <f>1750000+80000</f>
        <v>1830000</v>
      </c>
      <c r="K206" s="11">
        <v>1000000</v>
      </c>
      <c r="L206" s="16"/>
      <c r="M206" s="15"/>
      <c r="N206" s="15">
        <v>257.5</v>
      </c>
      <c r="O206" s="15">
        <f>3000000-200000</f>
        <v>2800000</v>
      </c>
      <c r="P206" s="15"/>
      <c r="Q206" s="15"/>
      <c r="R206" s="15">
        <v>300</v>
      </c>
      <c r="S206" s="15">
        <v>2000000</v>
      </c>
      <c r="T206" s="15">
        <v>100</v>
      </c>
      <c r="U206" s="15">
        <v>1000000</v>
      </c>
      <c r="V206" s="15">
        <v>892500</v>
      </c>
    </row>
    <row r="207" spans="1:22" s="5" customFormat="1" ht="12.75" customHeight="1" x14ac:dyDescent="0.2">
      <c r="A207" s="12">
        <v>179</v>
      </c>
      <c r="B207" s="21" t="s">
        <v>185</v>
      </c>
      <c r="C207" s="11">
        <v>773.6</v>
      </c>
      <c r="D207" s="11">
        <f t="shared" si="20"/>
        <v>14731000</v>
      </c>
      <c r="E207" s="11">
        <f t="shared" si="21"/>
        <v>14731000</v>
      </c>
      <c r="F207" s="11">
        <v>2000000</v>
      </c>
      <c r="G207" s="11"/>
      <c r="H207" s="11"/>
      <c r="I207" s="15"/>
      <c r="J207" s="11">
        <v>2000000</v>
      </c>
      <c r="K207" s="11">
        <v>2000000</v>
      </c>
      <c r="L207" s="16"/>
      <c r="M207" s="15"/>
      <c r="N207" s="15">
        <v>350</v>
      </c>
      <c r="O207" s="11">
        <f>4000000-481000</f>
        <v>3519000</v>
      </c>
      <c r="P207" s="15"/>
      <c r="Q207" s="15"/>
      <c r="R207" s="15">
        <v>400</v>
      </c>
      <c r="S207" s="15">
        <f>2800000+481000-35000-94000</f>
        <v>3152000</v>
      </c>
      <c r="T207" s="15">
        <v>100</v>
      </c>
      <c r="U207" s="15">
        <v>1000000</v>
      </c>
      <c r="V207" s="15">
        <v>1060000</v>
      </c>
    </row>
    <row r="208" spans="1:22" s="5" customFormat="1" ht="12.75" customHeight="1" x14ac:dyDescent="0.2">
      <c r="A208" s="12">
        <v>180</v>
      </c>
      <c r="B208" s="21" t="s">
        <v>184</v>
      </c>
      <c r="C208" s="11">
        <v>672.8</v>
      </c>
      <c r="D208" s="11">
        <f t="shared" si="20"/>
        <v>12093000</v>
      </c>
      <c r="E208" s="11">
        <f t="shared" si="21"/>
        <v>12093000</v>
      </c>
      <c r="F208" s="11"/>
      <c r="G208" s="11"/>
      <c r="H208" s="11"/>
      <c r="I208" s="15"/>
      <c r="J208" s="11"/>
      <c r="K208" s="11">
        <f>2300000-41000</f>
        <v>2259000</v>
      </c>
      <c r="L208" s="16"/>
      <c r="M208" s="15"/>
      <c r="N208" s="15">
        <v>270</v>
      </c>
      <c r="O208" s="11">
        <f>6500000-2500000-1000000</f>
        <v>3000000</v>
      </c>
      <c r="P208" s="15">
        <v>255</v>
      </c>
      <c r="Q208" s="15">
        <f>3000000-100000</f>
        <v>2900000</v>
      </c>
      <c r="R208" s="15">
        <v>400</v>
      </c>
      <c r="S208" s="15">
        <v>2000000</v>
      </c>
      <c r="T208" s="15">
        <v>100</v>
      </c>
      <c r="U208" s="15">
        <v>1000000</v>
      </c>
      <c r="V208" s="15">
        <v>934000</v>
      </c>
    </row>
    <row r="209" spans="1:22" s="5" customFormat="1" ht="12.75" customHeight="1" x14ac:dyDescent="0.2">
      <c r="A209" s="12">
        <v>181</v>
      </c>
      <c r="B209" s="21" t="s">
        <v>455</v>
      </c>
      <c r="C209" s="11">
        <v>891.5</v>
      </c>
      <c r="D209" s="11">
        <f t="shared" si="20"/>
        <v>14305900</v>
      </c>
      <c r="E209" s="11">
        <f t="shared" si="21"/>
        <v>14305900</v>
      </c>
      <c r="F209" s="11">
        <v>2000000</v>
      </c>
      <c r="G209" s="11"/>
      <c r="H209" s="11"/>
      <c r="I209" s="15"/>
      <c r="J209" s="11">
        <v>2000000</v>
      </c>
      <c r="K209" s="11">
        <v>1500000</v>
      </c>
      <c r="L209" s="16"/>
      <c r="M209" s="15"/>
      <c r="N209" s="15">
        <v>488.69</v>
      </c>
      <c r="O209" s="15">
        <f>8370000-4500000-86000</f>
        <v>3784000</v>
      </c>
      <c r="P209" s="15"/>
      <c r="Q209" s="15"/>
      <c r="R209" s="15">
        <v>400</v>
      </c>
      <c r="S209" s="15">
        <f>3000000-100000</f>
        <v>2900000</v>
      </c>
      <c r="T209" s="15">
        <v>100</v>
      </c>
      <c r="U209" s="15">
        <v>1000000</v>
      </c>
      <c r="V209" s="15">
        <v>1121900</v>
      </c>
    </row>
    <row r="210" spans="1:22" s="5" customFormat="1" ht="12.75" customHeight="1" x14ac:dyDescent="0.2">
      <c r="A210" s="12">
        <v>182</v>
      </c>
      <c r="B210" s="21" t="s">
        <v>456</v>
      </c>
      <c r="C210" s="11">
        <v>908.8</v>
      </c>
      <c r="D210" s="11">
        <f t="shared" si="20"/>
        <v>13466400</v>
      </c>
      <c r="E210" s="11">
        <f t="shared" si="21"/>
        <v>13466400</v>
      </c>
      <c r="F210" s="11">
        <v>1000000</v>
      </c>
      <c r="G210" s="11"/>
      <c r="H210" s="11"/>
      <c r="I210" s="15"/>
      <c r="J210" s="11">
        <v>1350000</v>
      </c>
      <c r="K210" s="11">
        <v>2000000</v>
      </c>
      <c r="L210" s="16"/>
      <c r="M210" s="15"/>
      <c r="N210" s="15"/>
      <c r="O210" s="15"/>
      <c r="P210" s="15"/>
      <c r="Q210" s="15"/>
      <c r="R210" s="15">
        <v>400</v>
      </c>
      <c r="S210" s="15">
        <f>4170000-36000-35000</f>
        <v>4099000</v>
      </c>
      <c r="T210" s="15">
        <v>100</v>
      </c>
      <c r="U210" s="15">
        <f>4000000+36000-35000</f>
        <v>4001000</v>
      </c>
      <c r="V210" s="15">
        <v>1016400</v>
      </c>
    </row>
    <row r="211" spans="1:22" s="5" customFormat="1" ht="12.75" customHeight="1" x14ac:dyDescent="0.2">
      <c r="A211" s="12">
        <v>183</v>
      </c>
      <c r="B211" s="21" t="s">
        <v>457</v>
      </c>
      <c r="C211" s="11">
        <v>872.6</v>
      </c>
      <c r="D211" s="11">
        <f t="shared" si="20"/>
        <v>12989800</v>
      </c>
      <c r="E211" s="11">
        <f t="shared" si="21"/>
        <v>12989800</v>
      </c>
      <c r="F211" s="11">
        <v>1000000</v>
      </c>
      <c r="G211" s="11"/>
      <c r="H211" s="11"/>
      <c r="I211" s="15"/>
      <c r="J211" s="11">
        <f>2200000-60000</f>
        <v>2140000</v>
      </c>
      <c r="K211" s="11">
        <v>2000000</v>
      </c>
      <c r="L211" s="16"/>
      <c r="M211" s="15"/>
      <c r="N211" s="15">
        <v>488.69</v>
      </c>
      <c r="O211" s="15">
        <f>8140000-4200000-100000</f>
        <v>3840000</v>
      </c>
      <c r="P211" s="15"/>
      <c r="Q211" s="15"/>
      <c r="R211" s="15">
        <v>400</v>
      </c>
      <c r="S211" s="15">
        <f>2000000-100000</f>
        <v>1900000</v>
      </c>
      <c r="T211" s="15">
        <v>100</v>
      </c>
      <c r="U211" s="15">
        <v>1000000</v>
      </c>
      <c r="V211" s="15">
        <v>1109800</v>
      </c>
    </row>
    <row r="212" spans="1:22" s="5" customFormat="1" ht="12.75" customHeight="1" x14ac:dyDescent="0.2">
      <c r="A212" s="12">
        <v>184</v>
      </c>
      <c r="B212" s="21" t="s">
        <v>458</v>
      </c>
      <c r="C212" s="11">
        <v>927.7</v>
      </c>
      <c r="D212" s="11">
        <f t="shared" si="20"/>
        <v>12861000</v>
      </c>
      <c r="E212" s="11">
        <f t="shared" si="21"/>
        <v>12861000</v>
      </c>
      <c r="F212" s="11"/>
      <c r="G212" s="11"/>
      <c r="H212" s="11"/>
      <c r="I212" s="15"/>
      <c r="J212" s="11">
        <v>2000000</v>
      </c>
      <c r="K212" s="11">
        <v>1800000</v>
      </c>
      <c r="L212" s="16"/>
      <c r="M212" s="15"/>
      <c r="N212" s="15"/>
      <c r="O212" s="15"/>
      <c r="P212" s="15"/>
      <c r="Q212" s="15"/>
      <c r="R212" s="15">
        <v>400</v>
      </c>
      <c r="S212" s="15">
        <f>6000000-1800000-57000</f>
        <v>4143000</v>
      </c>
      <c r="T212" s="15">
        <v>100</v>
      </c>
      <c r="U212" s="15">
        <v>4000000</v>
      </c>
      <c r="V212" s="15">
        <v>918000</v>
      </c>
    </row>
    <row r="213" spans="1:22" s="5" customFormat="1" ht="12.75" customHeight="1" x14ac:dyDescent="0.2">
      <c r="A213" s="12">
        <v>185</v>
      </c>
      <c r="B213" s="21" t="s">
        <v>128</v>
      </c>
      <c r="C213" s="11">
        <v>701</v>
      </c>
      <c r="D213" s="11">
        <f t="shared" si="20"/>
        <v>13696000</v>
      </c>
      <c r="E213" s="11">
        <f t="shared" si="21"/>
        <v>13696000</v>
      </c>
      <c r="F213" s="11">
        <v>1000000</v>
      </c>
      <c r="G213" s="11"/>
      <c r="H213" s="11"/>
      <c r="I213" s="15"/>
      <c r="J213" s="11"/>
      <c r="K213" s="11">
        <v>2000000</v>
      </c>
      <c r="L213" s="16"/>
      <c r="M213" s="15"/>
      <c r="N213" s="15">
        <v>350</v>
      </c>
      <c r="O213" s="11">
        <f>3000000-35000</f>
        <v>2965000</v>
      </c>
      <c r="P213" s="15">
        <v>255</v>
      </c>
      <c r="Q213" s="15">
        <f>3000000-50000</f>
        <v>2950000</v>
      </c>
      <c r="R213" s="15">
        <v>400</v>
      </c>
      <c r="S213" s="15">
        <f>2800000-100000</f>
        <v>2700000</v>
      </c>
      <c r="T213" s="15">
        <v>100</v>
      </c>
      <c r="U213" s="15">
        <v>1000000</v>
      </c>
      <c r="V213" s="15">
        <v>1081000</v>
      </c>
    </row>
    <row r="214" spans="1:22" s="5" customFormat="1" ht="12.75" customHeight="1" x14ac:dyDescent="0.2">
      <c r="A214" s="12">
        <v>186</v>
      </c>
      <c r="B214" s="21" t="s">
        <v>129</v>
      </c>
      <c r="C214" s="11">
        <v>696.5</v>
      </c>
      <c r="D214" s="11">
        <f t="shared" si="20"/>
        <v>11556000</v>
      </c>
      <c r="E214" s="11">
        <f t="shared" si="21"/>
        <v>11556000</v>
      </c>
      <c r="F214" s="11"/>
      <c r="G214" s="11">
        <v>1500000</v>
      </c>
      <c r="H214" s="11"/>
      <c r="I214" s="15"/>
      <c r="J214" s="11">
        <v>1650000</v>
      </c>
      <c r="K214" s="11">
        <f>2000000-100000-70000</f>
        <v>1830000</v>
      </c>
      <c r="L214" s="16"/>
      <c r="M214" s="15"/>
      <c r="N214" s="15">
        <v>320</v>
      </c>
      <c r="O214" s="11">
        <f>5500000-1200000-500000-650000-100000</f>
        <v>3050000</v>
      </c>
      <c r="P214" s="15"/>
      <c r="Q214" s="15"/>
      <c r="R214" s="15">
        <v>400</v>
      </c>
      <c r="S214" s="15">
        <v>1500000</v>
      </c>
      <c r="T214" s="15">
        <v>100</v>
      </c>
      <c r="U214" s="15">
        <v>1000000</v>
      </c>
      <c r="V214" s="15">
        <v>1026000</v>
      </c>
    </row>
    <row r="215" spans="1:22" s="5" customFormat="1" ht="12.75" customHeight="1" x14ac:dyDescent="0.2">
      <c r="A215" s="12">
        <v>187</v>
      </c>
      <c r="B215" s="21" t="s">
        <v>459</v>
      </c>
      <c r="C215" s="11">
        <v>1227.5</v>
      </c>
      <c r="D215" s="11">
        <f t="shared" si="20"/>
        <v>14659000</v>
      </c>
      <c r="E215" s="11">
        <f t="shared" si="21"/>
        <v>14659000</v>
      </c>
      <c r="F215" s="11">
        <v>2000000</v>
      </c>
      <c r="G215" s="11"/>
      <c r="H215" s="11"/>
      <c r="I215" s="15"/>
      <c r="J215" s="11"/>
      <c r="K215" s="11">
        <f>2320000-93000</f>
        <v>2227000</v>
      </c>
      <c r="L215" s="16"/>
      <c r="M215" s="15"/>
      <c r="N215" s="15">
        <v>600</v>
      </c>
      <c r="O215" s="11">
        <f>8000000-1100000-1320000</f>
        <v>5580000</v>
      </c>
      <c r="P215" s="15"/>
      <c r="Q215" s="15"/>
      <c r="R215" s="15">
        <v>400</v>
      </c>
      <c r="S215" s="15">
        <v>2800000</v>
      </c>
      <c r="T215" s="15">
        <v>100</v>
      </c>
      <c r="U215" s="15">
        <v>1000000</v>
      </c>
      <c r="V215" s="15">
        <v>1052000</v>
      </c>
    </row>
    <row r="216" spans="1:22" s="5" customFormat="1" ht="12.75" customHeight="1" x14ac:dyDescent="0.2">
      <c r="A216" s="12">
        <v>188</v>
      </c>
      <c r="B216" s="21" t="s">
        <v>130</v>
      </c>
      <c r="C216" s="11">
        <v>670.6</v>
      </c>
      <c r="D216" s="11">
        <f t="shared" si="20"/>
        <v>14659000</v>
      </c>
      <c r="E216" s="11">
        <f t="shared" si="21"/>
        <v>14659000</v>
      </c>
      <c r="F216" s="11">
        <v>2000000</v>
      </c>
      <c r="G216" s="11"/>
      <c r="H216" s="11"/>
      <c r="I216" s="15"/>
      <c r="J216" s="11">
        <v>2000000</v>
      </c>
      <c r="K216" s="11">
        <v>2000000</v>
      </c>
      <c r="L216" s="16"/>
      <c r="M216" s="15"/>
      <c r="N216" s="15">
        <v>350</v>
      </c>
      <c r="O216" s="11">
        <f>8000000-1100000-1000000-2000000-1000000-93000</f>
        <v>2807000</v>
      </c>
      <c r="P216" s="15"/>
      <c r="Q216" s="15"/>
      <c r="R216" s="15">
        <v>400</v>
      </c>
      <c r="S216" s="15">
        <f>2800000-82000</f>
        <v>2718000</v>
      </c>
      <c r="T216" s="15">
        <v>100</v>
      </c>
      <c r="U216" s="15">
        <v>2000000</v>
      </c>
      <c r="V216" s="15">
        <v>1134000</v>
      </c>
    </row>
    <row r="217" spans="1:22" s="5" customFormat="1" ht="12.75" customHeight="1" x14ac:dyDescent="0.2">
      <c r="A217" s="12">
        <v>189</v>
      </c>
      <c r="B217" s="21" t="s">
        <v>131</v>
      </c>
      <c r="C217" s="11">
        <v>670.1</v>
      </c>
      <c r="D217" s="11">
        <f t="shared" si="20"/>
        <v>11556000</v>
      </c>
      <c r="E217" s="11">
        <f t="shared" si="21"/>
        <v>11556000</v>
      </c>
      <c r="F217" s="11"/>
      <c r="G217" s="11"/>
      <c r="H217" s="11"/>
      <c r="I217" s="15"/>
      <c r="J217" s="11">
        <f>2000000-50000</f>
        <v>1950000</v>
      </c>
      <c r="K217" s="11">
        <v>1950000</v>
      </c>
      <c r="L217" s="16"/>
      <c r="M217" s="15"/>
      <c r="N217" s="15">
        <v>320</v>
      </c>
      <c r="O217" s="11">
        <f>7000000-3200000-752000-50000</f>
        <v>2998000</v>
      </c>
      <c r="P217" s="15"/>
      <c r="Q217" s="15"/>
      <c r="R217" s="15">
        <v>400</v>
      </c>
      <c r="S217" s="15">
        <v>2000000</v>
      </c>
      <c r="T217" s="15">
        <v>100</v>
      </c>
      <c r="U217" s="15">
        <v>1752000</v>
      </c>
      <c r="V217" s="15">
        <v>906000</v>
      </c>
    </row>
    <row r="218" spans="1:22" s="1" customFormat="1" ht="12.75" customHeight="1" outlineLevel="1" x14ac:dyDescent="0.25">
      <c r="A218" s="19" t="s">
        <v>44</v>
      </c>
      <c r="B218" s="20"/>
      <c r="C218" s="17"/>
      <c r="D218" s="11"/>
      <c r="E218" s="11"/>
      <c r="F218" s="11"/>
      <c r="G218" s="17"/>
      <c r="H218" s="17"/>
      <c r="I218" s="17"/>
      <c r="J218" s="17"/>
      <c r="K218" s="17"/>
      <c r="L218" s="18"/>
      <c r="M218" s="17"/>
      <c r="N218" s="17"/>
      <c r="O218" s="15"/>
      <c r="P218" s="15"/>
      <c r="Q218" s="15"/>
      <c r="R218" s="15"/>
      <c r="S218" s="15"/>
      <c r="T218" s="15"/>
      <c r="U218" s="15"/>
      <c r="V218" s="15"/>
    </row>
    <row r="219" spans="1:22" s="1" customFormat="1" ht="12.75" customHeight="1" outlineLevel="1" x14ac:dyDescent="0.25">
      <c r="A219" s="19" t="s">
        <v>45</v>
      </c>
      <c r="B219" s="20"/>
      <c r="C219" s="17"/>
      <c r="D219" s="11"/>
      <c r="E219" s="11"/>
      <c r="F219" s="17"/>
      <c r="G219" s="17"/>
      <c r="H219" s="17"/>
      <c r="I219" s="17"/>
      <c r="J219" s="17"/>
      <c r="K219" s="17"/>
      <c r="L219" s="18"/>
      <c r="M219" s="17"/>
      <c r="N219" s="17"/>
      <c r="O219" s="15"/>
      <c r="P219" s="15"/>
      <c r="Q219" s="15"/>
      <c r="R219" s="15"/>
      <c r="S219" s="15"/>
      <c r="T219" s="15"/>
      <c r="U219" s="15"/>
      <c r="V219" s="15"/>
    </row>
    <row r="220" spans="1:22" ht="12.75" customHeight="1" x14ac:dyDescent="0.2">
      <c r="A220" s="12">
        <v>190</v>
      </c>
      <c r="B220" s="21" t="s">
        <v>46</v>
      </c>
      <c r="C220" s="11">
        <v>3201.25</v>
      </c>
      <c r="D220" s="11">
        <f>F220+G220+H220+I220+J220+K220+M220+O220+Q220+S220+U220+V220</f>
        <v>7466220</v>
      </c>
      <c r="E220" s="11">
        <f>D220</f>
        <v>7466220</v>
      </c>
      <c r="F220" s="11"/>
      <c r="G220" s="11">
        <v>1555000</v>
      </c>
      <c r="H220" s="11"/>
      <c r="I220" s="11"/>
      <c r="J220" s="11">
        <v>1590000</v>
      </c>
      <c r="K220" s="11">
        <v>1168000</v>
      </c>
      <c r="L220" s="13"/>
      <c r="M220" s="15"/>
      <c r="N220" s="15"/>
      <c r="O220" s="15"/>
      <c r="P220" s="11"/>
      <c r="Q220" s="15"/>
      <c r="R220" s="15">
        <v>725.2</v>
      </c>
      <c r="S220" s="15">
        <f>1225000-20000</f>
        <v>1205000</v>
      </c>
      <c r="T220" s="15">
        <v>168.9</v>
      </c>
      <c r="U220" s="15">
        <f>1220000-20000</f>
        <v>1200000</v>
      </c>
      <c r="V220" s="15">
        <v>748220</v>
      </c>
    </row>
    <row r="221" spans="1:22" s="1" customFormat="1" ht="12.75" customHeight="1" outlineLevel="1" x14ac:dyDescent="0.25">
      <c r="A221" s="19" t="s">
        <v>47</v>
      </c>
      <c r="B221" s="20"/>
      <c r="C221" s="17"/>
      <c r="D221" s="11"/>
      <c r="E221" s="11"/>
      <c r="F221" s="17"/>
      <c r="G221" s="17"/>
      <c r="H221" s="17"/>
      <c r="I221" s="17"/>
      <c r="J221" s="17"/>
      <c r="K221" s="17"/>
      <c r="L221" s="18"/>
      <c r="M221" s="17"/>
      <c r="N221" s="17"/>
      <c r="O221" s="15"/>
      <c r="P221" s="15"/>
      <c r="Q221" s="15"/>
      <c r="R221" s="15"/>
      <c r="S221" s="15"/>
      <c r="T221" s="15"/>
      <c r="U221" s="15"/>
      <c r="V221" s="15"/>
    </row>
    <row r="222" spans="1:22" s="1" customFormat="1" ht="12.75" customHeight="1" outlineLevel="1" x14ac:dyDescent="0.25">
      <c r="A222" s="19" t="s">
        <v>53</v>
      </c>
      <c r="B222" s="20"/>
      <c r="C222" s="17"/>
      <c r="D222" s="11"/>
      <c r="E222" s="11"/>
      <c r="F222" s="17"/>
      <c r="G222" s="17"/>
      <c r="H222" s="17"/>
      <c r="I222" s="17"/>
      <c r="J222" s="17"/>
      <c r="K222" s="17"/>
      <c r="L222" s="18"/>
      <c r="M222" s="17"/>
      <c r="N222" s="17"/>
      <c r="O222" s="15"/>
      <c r="P222" s="15"/>
      <c r="Q222" s="15"/>
      <c r="R222" s="15"/>
      <c r="S222" s="15"/>
      <c r="T222" s="15"/>
      <c r="U222" s="15"/>
      <c r="V222" s="15"/>
    </row>
    <row r="223" spans="1:22" ht="12.75" customHeight="1" x14ac:dyDescent="0.2">
      <c r="A223" s="12">
        <v>191</v>
      </c>
      <c r="B223" s="21" t="s">
        <v>380</v>
      </c>
      <c r="C223" s="11">
        <v>861.6</v>
      </c>
      <c r="D223" s="11">
        <f t="shared" ref="D223:D224" si="22">F223+G223+H223+I223+J223+K223+M223+O223+Q223+S223+U223+V223</f>
        <v>9217305</v>
      </c>
      <c r="E223" s="11">
        <f>D223</f>
        <v>9217305</v>
      </c>
      <c r="F223" s="11"/>
      <c r="G223" s="11">
        <v>1000000</v>
      </c>
      <c r="H223" s="11"/>
      <c r="I223" s="11"/>
      <c r="J223" s="11">
        <v>1300000</v>
      </c>
      <c r="K223" s="11">
        <v>1000000</v>
      </c>
      <c r="L223" s="13"/>
      <c r="M223" s="15"/>
      <c r="N223" s="15">
        <v>586</v>
      </c>
      <c r="O223" s="15">
        <f>6104500-2000000-200000</f>
        <v>3904500</v>
      </c>
      <c r="P223" s="11"/>
      <c r="Q223" s="15"/>
      <c r="R223" s="15">
        <v>920</v>
      </c>
      <c r="S223" s="15">
        <v>1160000</v>
      </c>
      <c r="T223" s="15"/>
      <c r="U223" s="15"/>
      <c r="V223" s="15">
        <v>852805</v>
      </c>
    </row>
    <row r="224" spans="1:22" ht="12.75" customHeight="1" x14ac:dyDescent="0.2">
      <c r="A224" s="12">
        <v>192</v>
      </c>
      <c r="B224" s="21" t="s">
        <v>381</v>
      </c>
      <c r="C224" s="11">
        <v>741.6</v>
      </c>
      <c r="D224" s="11">
        <f t="shared" si="22"/>
        <v>8776400</v>
      </c>
      <c r="E224" s="11">
        <f>D224</f>
        <v>8776400</v>
      </c>
      <c r="F224" s="11"/>
      <c r="G224" s="11">
        <v>1400000</v>
      </c>
      <c r="H224" s="11"/>
      <c r="I224" s="11"/>
      <c r="J224" s="11">
        <v>1100000</v>
      </c>
      <c r="K224" s="11">
        <v>1000000</v>
      </c>
      <c r="L224" s="13"/>
      <c r="M224" s="15"/>
      <c r="N224" s="15">
        <v>592</v>
      </c>
      <c r="O224" s="15">
        <f>3350000-43000</f>
        <v>3307000</v>
      </c>
      <c r="P224" s="11"/>
      <c r="Q224" s="15"/>
      <c r="R224" s="15">
        <v>920</v>
      </c>
      <c r="S224" s="15">
        <v>1110000</v>
      </c>
      <c r="T224" s="15"/>
      <c r="U224" s="15"/>
      <c r="V224" s="15">
        <v>859400</v>
      </c>
    </row>
    <row r="225" spans="1:22" s="1" customFormat="1" ht="12.75" customHeight="1" outlineLevel="1" x14ac:dyDescent="0.25">
      <c r="A225" s="19" t="s">
        <v>54</v>
      </c>
      <c r="B225" s="20"/>
      <c r="C225" s="17"/>
      <c r="D225" s="11"/>
      <c r="E225" s="11"/>
      <c r="F225" s="17"/>
      <c r="G225" s="17"/>
      <c r="H225" s="17"/>
      <c r="I225" s="17"/>
      <c r="J225" s="17"/>
      <c r="K225" s="17"/>
      <c r="L225" s="18"/>
      <c r="M225" s="17"/>
      <c r="N225" s="17"/>
      <c r="O225" s="15"/>
      <c r="P225" s="15"/>
      <c r="Q225" s="15"/>
      <c r="R225" s="15"/>
      <c r="S225" s="15"/>
      <c r="T225" s="15"/>
      <c r="U225" s="15"/>
      <c r="V225" s="15"/>
    </row>
    <row r="226" spans="1:22" ht="12.75" customHeight="1" x14ac:dyDescent="0.2">
      <c r="A226" s="12">
        <v>193</v>
      </c>
      <c r="B226" s="21" t="s">
        <v>382</v>
      </c>
      <c r="C226" s="11">
        <v>977.1</v>
      </c>
      <c r="D226" s="11">
        <f t="shared" ref="D226:D227" si="23">F226+G226+H226+I226+J226+K226+M226+O226+Q226+S226+U226+V226</f>
        <v>8812915</v>
      </c>
      <c r="E226" s="11">
        <f>D226</f>
        <v>8812915</v>
      </c>
      <c r="F226" s="11"/>
      <c r="G226" s="11"/>
      <c r="H226" s="11"/>
      <c r="I226" s="11"/>
      <c r="J226" s="11">
        <f>650000+350000</f>
        <v>1000000</v>
      </c>
      <c r="K226" s="11"/>
      <c r="L226" s="13"/>
      <c r="M226" s="15"/>
      <c r="N226" s="15">
        <v>672.4</v>
      </c>
      <c r="O226" s="15">
        <f>4100000-350000</f>
        <v>3750000</v>
      </c>
      <c r="P226" s="11"/>
      <c r="Q226" s="15"/>
      <c r="R226" s="15">
        <v>977</v>
      </c>
      <c r="S226" s="15">
        <v>3243500</v>
      </c>
      <c r="T226" s="15"/>
      <c r="U226" s="15"/>
      <c r="V226" s="15">
        <v>819415</v>
      </c>
    </row>
    <row r="227" spans="1:22" ht="12.75" customHeight="1" x14ac:dyDescent="0.2">
      <c r="A227" s="12">
        <v>194</v>
      </c>
      <c r="B227" s="21" t="s">
        <v>383</v>
      </c>
      <c r="C227" s="11">
        <v>689.7</v>
      </c>
      <c r="D227" s="11">
        <f t="shared" si="23"/>
        <v>7058015</v>
      </c>
      <c r="E227" s="11">
        <f>D227</f>
        <v>7058015</v>
      </c>
      <c r="F227" s="11"/>
      <c r="G227" s="11"/>
      <c r="H227" s="11"/>
      <c r="I227" s="11"/>
      <c r="J227" s="11">
        <f>550000+553000</f>
        <v>1103000</v>
      </c>
      <c r="K227" s="11"/>
      <c r="L227" s="13"/>
      <c r="M227" s="15"/>
      <c r="N227" s="15">
        <v>496.4</v>
      </c>
      <c r="O227" s="15">
        <f>3690000-553000</f>
        <v>3137000</v>
      </c>
      <c r="P227" s="11"/>
      <c r="Q227" s="15"/>
      <c r="R227" s="15">
        <v>690</v>
      </c>
      <c r="S227" s="15">
        <v>2143500</v>
      </c>
      <c r="T227" s="15"/>
      <c r="U227" s="15"/>
      <c r="V227" s="15">
        <v>674515</v>
      </c>
    </row>
    <row r="228" spans="1:22" ht="12.75" customHeight="1" x14ac:dyDescent="0.2">
      <c r="A228" s="19" t="s">
        <v>48</v>
      </c>
      <c r="B228" s="20"/>
      <c r="C228" s="17"/>
      <c r="D228" s="11"/>
      <c r="E228" s="11"/>
      <c r="F228" s="17"/>
      <c r="G228" s="17"/>
      <c r="H228" s="17"/>
      <c r="I228" s="17"/>
      <c r="J228" s="17"/>
      <c r="K228" s="17"/>
      <c r="L228" s="18"/>
      <c r="M228" s="17"/>
      <c r="N228" s="17"/>
      <c r="O228" s="17"/>
      <c r="P228" s="17"/>
      <c r="Q228" s="17"/>
      <c r="R228" s="17"/>
      <c r="S228" s="17"/>
      <c r="T228" s="17"/>
      <c r="U228" s="17"/>
      <c r="V228" s="15"/>
    </row>
    <row r="229" spans="1:22" ht="12.75" customHeight="1" x14ac:dyDescent="0.2">
      <c r="A229" s="19" t="s">
        <v>55</v>
      </c>
      <c r="B229" s="20"/>
      <c r="C229" s="17"/>
      <c r="D229" s="11"/>
      <c r="E229" s="11"/>
      <c r="F229" s="17"/>
      <c r="G229" s="17"/>
      <c r="H229" s="17"/>
      <c r="I229" s="17"/>
      <c r="J229" s="17"/>
      <c r="K229" s="17"/>
      <c r="L229" s="18"/>
      <c r="M229" s="17"/>
      <c r="N229" s="17"/>
      <c r="O229" s="17"/>
      <c r="P229" s="17"/>
      <c r="Q229" s="17"/>
      <c r="R229" s="17"/>
      <c r="S229" s="17"/>
      <c r="T229" s="17"/>
      <c r="U229" s="17"/>
      <c r="V229" s="15"/>
    </row>
    <row r="230" spans="1:22" ht="12.75" customHeight="1" x14ac:dyDescent="0.2">
      <c r="A230" s="12">
        <v>195</v>
      </c>
      <c r="B230" s="21" t="s">
        <v>133</v>
      </c>
      <c r="C230" s="11">
        <v>2696.6</v>
      </c>
      <c r="D230" s="11">
        <f t="shared" ref="D230:D231" si="24">F230+G230+H230+I230+J230+K230+M230+O230+Q230+S230+U230+V230</f>
        <v>35970000</v>
      </c>
      <c r="E230" s="11">
        <f>D230</f>
        <v>35970000</v>
      </c>
      <c r="F230" s="11">
        <v>3000000</v>
      </c>
      <c r="G230" s="11"/>
      <c r="H230" s="11"/>
      <c r="I230" s="11"/>
      <c r="J230" s="11">
        <v>4000000</v>
      </c>
      <c r="K230" s="11">
        <v>2000000</v>
      </c>
      <c r="L230" s="13"/>
      <c r="M230" s="15"/>
      <c r="N230" s="15">
        <v>1180</v>
      </c>
      <c r="O230" s="28">
        <v>11800000</v>
      </c>
      <c r="P230" s="11"/>
      <c r="Q230" s="15"/>
      <c r="R230" s="15">
        <v>2576.31</v>
      </c>
      <c r="S230" s="28">
        <f>8000000+4200000-60000</f>
        <v>12140000</v>
      </c>
      <c r="T230" s="15"/>
      <c r="U230" s="15"/>
      <c r="V230" s="15">
        <v>3030000</v>
      </c>
    </row>
    <row r="231" spans="1:22" ht="12.75" customHeight="1" x14ac:dyDescent="0.2">
      <c r="A231" s="12">
        <v>196</v>
      </c>
      <c r="B231" s="21" t="s">
        <v>460</v>
      </c>
      <c r="C231" s="11">
        <v>862</v>
      </c>
      <c r="D231" s="11">
        <f t="shared" si="24"/>
        <v>5995000</v>
      </c>
      <c r="E231" s="11">
        <f>D231</f>
        <v>5995000</v>
      </c>
      <c r="F231" s="11"/>
      <c r="G231" s="11"/>
      <c r="H231" s="11"/>
      <c r="I231" s="11"/>
      <c r="J231" s="11"/>
      <c r="K231" s="11">
        <f>500000+1100000</f>
        <v>1600000</v>
      </c>
      <c r="L231" s="13"/>
      <c r="M231" s="15"/>
      <c r="N231" s="15">
        <v>250</v>
      </c>
      <c r="O231" s="28">
        <f>5000000-1100000</f>
        <v>3900000</v>
      </c>
      <c r="P231" s="11"/>
      <c r="Q231" s="15"/>
      <c r="R231" s="15"/>
      <c r="S231" s="15"/>
      <c r="T231" s="15"/>
      <c r="U231" s="15"/>
      <c r="V231" s="15">
        <v>495000.00000000006</v>
      </c>
    </row>
    <row r="232" spans="1:22" s="1" customFormat="1" ht="12.75" customHeight="1" outlineLevel="1" x14ac:dyDescent="0.25">
      <c r="A232" s="19" t="s">
        <v>49</v>
      </c>
      <c r="B232" s="20"/>
      <c r="C232" s="17"/>
      <c r="D232" s="11"/>
      <c r="E232" s="11"/>
      <c r="F232" s="17"/>
      <c r="G232" s="17"/>
      <c r="H232" s="17"/>
      <c r="I232" s="17"/>
      <c r="J232" s="17"/>
      <c r="K232" s="17"/>
      <c r="L232" s="18"/>
      <c r="M232" s="17"/>
      <c r="N232" s="17"/>
      <c r="O232" s="15"/>
      <c r="P232" s="15"/>
      <c r="Q232" s="15"/>
      <c r="R232" s="15"/>
      <c r="S232" s="15"/>
      <c r="T232" s="15"/>
      <c r="U232" s="15"/>
      <c r="V232" s="15"/>
    </row>
    <row r="233" spans="1:22" s="1" customFormat="1" ht="12.75" customHeight="1" outlineLevel="1" x14ac:dyDescent="0.25">
      <c r="A233" s="19" t="s">
        <v>56</v>
      </c>
      <c r="B233" s="20"/>
      <c r="C233" s="17"/>
      <c r="D233" s="11"/>
      <c r="E233" s="11"/>
      <c r="F233" s="17"/>
      <c r="G233" s="17"/>
      <c r="H233" s="17"/>
      <c r="I233" s="17"/>
      <c r="J233" s="17"/>
      <c r="K233" s="17"/>
      <c r="L233" s="18"/>
      <c r="M233" s="17"/>
      <c r="N233" s="17"/>
      <c r="O233" s="15"/>
      <c r="P233" s="15"/>
      <c r="Q233" s="15"/>
      <c r="R233" s="15"/>
      <c r="S233" s="15"/>
      <c r="T233" s="15"/>
      <c r="U233" s="15"/>
      <c r="V233" s="15"/>
    </row>
    <row r="234" spans="1:22" ht="12.75" customHeight="1" x14ac:dyDescent="0.2">
      <c r="A234" s="12">
        <v>197</v>
      </c>
      <c r="B234" s="21" t="s">
        <v>461</v>
      </c>
      <c r="C234" s="11">
        <v>3376.1</v>
      </c>
      <c r="D234" s="11">
        <f t="shared" ref="D234:D235" si="25">F234+G234+H234+I234+J234+K234+M234+O234+Q234+S234+U234+V234</f>
        <v>1500000</v>
      </c>
      <c r="E234" s="11">
        <f>D234</f>
        <v>1500000</v>
      </c>
      <c r="F234" s="11"/>
      <c r="G234" s="11"/>
      <c r="H234" s="11"/>
      <c r="I234" s="11"/>
      <c r="J234" s="11"/>
      <c r="K234" s="11"/>
      <c r="L234" s="13"/>
      <c r="M234" s="11"/>
      <c r="N234" s="15"/>
      <c r="O234" s="11"/>
      <c r="P234" s="11"/>
      <c r="Q234" s="15"/>
      <c r="R234" s="15">
        <v>920</v>
      </c>
      <c r="S234" s="15">
        <v>1300000</v>
      </c>
      <c r="T234" s="15"/>
      <c r="U234" s="15"/>
      <c r="V234" s="15">
        <v>200000</v>
      </c>
    </row>
    <row r="235" spans="1:22" ht="12.75" customHeight="1" x14ac:dyDescent="0.2">
      <c r="A235" s="12">
        <v>198</v>
      </c>
      <c r="B235" s="21" t="s">
        <v>384</v>
      </c>
      <c r="C235" s="11">
        <v>2824.07</v>
      </c>
      <c r="D235" s="11">
        <f t="shared" si="25"/>
        <v>8453813</v>
      </c>
      <c r="E235" s="11">
        <f>D235</f>
        <v>8453813</v>
      </c>
      <c r="F235" s="11"/>
      <c r="G235" s="11"/>
      <c r="H235" s="11"/>
      <c r="I235" s="11"/>
      <c r="J235" s="11">
        <v>1100000</v>
      </c>
      <c r="K235" s="11"/>
      <c r="L235" s="13"/>
      <c r="M235" s="11"/>
      <c r="N235" s="15">
        <v>863</v>
      </c>
      <c r="O235" s="11">
        <f>7453813-1100000</f>
        <v>6353813</v>
      </c>
      <c r="P235" s="11"/>
      <c r="Q235" s="15"/>
      <c r="R235" s="15"/>
      <c r="S235" s="15"/>
      <c r="T235" s="15"/>
      <c r="U235" s="15"/>
      <c r="V235" s="15">
        <v>1000000</v>
      </c>
    </row>
    <row r="236" spans="1:22" s="1" customFormat="1" ht="12.75" customHeight="1" outlineLevel="1" x14ac:dyDescent="0.25">
      <c r="A236" s="19" t="s">
        <v>57</v>
      </c>
      <c r="B236" s="20"/>
      <c r="C236" s="17"/>
      <c r="D236" s="11"/>
      <c r="E236" s="11"/>
      <c r="F236" s="17"/>
      <c r="G236" s="17"/>
      <c r="H236" s="17"/>
      <c r="I236" s="17"/>
      <c r="J236" s="17"/>
      <c r="K236" s="17"/>
      <c r="L236" s="18"/>
      <c r="M236" s="17"/>
      <c r="N236" s="17"/>
      <c r="O236" s="15"/>
      <c r="P236" s="15"/>
      <c r="Q236" s="15"/>
      <c r="R236" s="15"/>
      <c r="S236" s="15"/>
      <c r="T236" s="15"/>
      <c r="U236" s="15"/>
      <c r="V236" s="15"/>
    </row>
    <row r="237" spans="1:22" ht="12.75" customHeight="1" x14ac:dyDescent="0.2">
      <c r="A237" s="12">
        <v>199</v>
      </c>
      <c r="B237" s="21" t="s">
        <v>117</v>
      </c>
      <c r="C237" s="11">
        <v>6164</v>
      </c>
      <c r="D237" s="11">
        <f t="shared" ref="D237:D241" si="26">F237+G237+H237+I237+J237+K237+M237+O237+Q237+S237+U237+V237</f>
        <v>2765050</v>
      </c>
      <c r="E237" s="11">
        <f>D237</f>
        <v>2765050</v>
      </c>
      <c r="F237" s="15"/>
      <c r="G237" s="15"/>
      <c r="H237" s="15"/>
      <c r="I237" s="15"/>
      <c r="J237" s="15"/>
      <c r="K237" s="15"/>
      <c r="L237" s="16"/>
      <c r="M237" s="15"/>
      <c r="N237" s="15">
        <v>621.20000000000005</v>
      </c>
      <c r="O237" s="11">
        <v>2445000</v>
      </c>
      <c r="P237" s="15"/>
      <c r="Q237" s="15"/>
      <c r="R237" s="15"/>
      <c r="S237" s="15"/>
      <c r="T237" s="15"/>
      <c r="U237" s="15"/>
      <c r="V237" s="15">
        <v>320050</v>
      </c>
    </row>
    <row r="238" spans="1:22" ht="12.75" customHeight="1" x14ac:dyDescent="0.2">
      <c r="A238" s="12">
        <v>200</v>
      </c>
      <c r="B238" s="21" t="s">
        <v>317</v>
      </c>
      <c r="C238" s="11">
        <v>6075</v>
      </c>
      <c r="D238" s="11">
        <f t="shared" si="26"/>
        <v>1765050</v>
      </c>
      <c r="E238" s="11">
        <f>D238</f>
        <v>1765050</v>
      </c>
      <c r="F238" s="11"/>
      <c r="G238" s="11"/>
      <c r="H238" s="11"/>
      <c r="I238" s="11"/>
      <c r="J238" s="11"/>
      <c r="K238" s="11"/>
      <c r="L238" s="13"/>
      <c r="M238" s="11"/>
      <c r="N238" s="15"/>
      <c r="O238" s="11"/>
      <c r="P238" s="11"/>
      <c r="Q238" s="11"/>
      <c r="R238" s="11">
        <v>1300</v>
      </c>
      <c r="S238" s="11">
        <v>1445000</v>
      </c>
      <c r="T238" s="11"/>
      <c r="U238" s="11"/>
      <c r="V238" s="15">
        <v>320050</v>
      </c>
    </row>
    <row r="239" spans="1:22" ht="12.75" customHeight="1" x14ac:dyDescent="0.2">
      <c r="A239" s="12">
        <v>201</v>
      </c>
      <c r="B239" s="21" t="s">
        <v>118</v>
      </c>
      <c r="C239" s="11">
        <v>8128</v>
      </c>
      <c r="D239" s="11">
        <f t="shared" si="26"/>
        <v>2765050</v>
      </c>
      <c r="E239" s="11">
        <f>D239</f>
        <v>2765050</v>
      </c>
      <c r="F239" s="15"/>
      <c r="G239" s="15"/>
      <c r="H239" s="15"/>
      <c r="I239" s="15"/>
      <c r="J239" s="15"/>
      <c r="K239" s="15"/>
      <c r="L239" s="16"/>
      <c r="M239" s="15"/>
      <c r="N239" s="15">
        <v>984</v>
      </c>
      <c r="O239" s="11">
        <v>2445000</v>
      </c>
      <c r="P239" s="15"/>
      <c r="Q239" s="15"/>
      <c r="R239" s="15"/>
      <c r="S239" s="15"/>
      <c r="T239" s="15"/>
      <c r="U239" s="15"/>
      <c r="V239" s="15">
        <v>320050</v>
      </c>
    </row>
    <row r="240" spans="1:22" ht="12.75" customHeight="1" x14ac:dyDescent="0.2">
      <c r="A240" s="12">
        <v>202</v>
      </c>
      <c r="B240" s="21" t="s">
        <v>119</v>
      </c>
      <c r="C240" s="11">
        <v>2754.47</v>
      </c>
      <c r="D240" s="11">
        <f t="shared" si="26"/>
        <v>2765050</v>
      </c>
      <c r="E240" s="11">
        <f>D240</f>
        <v>2765050</v>
      </c>
      <c r="F240" s="15"/>
      <c r="G240" s="15"/>
      <c r="H240" s="15"/>
      <c r="I240" s="15"/>
      <c r="J240" s="15"/>
      <c r="K240" s="15"/>
      <c r="L240" s="16"/>
      <c r="M240" s="15"/>
      <c r="N240" s="15">
        <v>830</v>
      </c>
      <c r="O240" s="11">
        <v>2445000</v>
      </c>
      <c r="P240" s="15"/>
      <c r="Q240" s="15"/>
      <c r="R240" s="15"/>
      <c r="S240" s="15"/>
      <c r="T240" s="15"/>
      <c r="U240" s="15"/>
      <c r="V240" s="15">
        <v>320050</v>
      </c>
    </row>
    <row r="241" spans="1:22" ht="12.75" customHeight="1" x14ac:dyDescent="0.2">
      <c r="A241" s="12">
        <v>203</v>
      </c>
      <c r="B241" s="21" t="s">
        <v>116</v>
      </c>
      <c r="C241" s="11">
        <v>4284.18</v>
      </c>
      <c r="D241" s="11">
        <f t="shared" si="26"/>
        <v>2988500</v>
      </c>
      <c r="E241" s="11">
        <f>D241</f>
        <v>2988500</v>
      </c>
      <c r="F241" s="15"/>
      <c r="G241" s="15"/>
      <c r="H241" s="15"/>
      <c r="I241" s="15"/>
      <c r="J241" s="15"/>
      <c r="K241" s="15"/>
      <c r="L241" s="16"/>
      <c r="M241" s="15"/>
      <c r="N241" s="15">
        <v>1052</v>
      </c>
      <c r="O241" s="11">
        <v>2650000</v>
      </c>
      <c r="P241" s="15"/>
      <c r="Q241" s="15"/>
      <c r="R241" s="15"/>
      <c r="S241" s="15"/>
      <c r="T241" s="15"/>
      <c r="U241" s="15"/>
      <c r="V241" s="15">
        <v>338500</v>
      </c>
    </row>
    <row r="242" spans="1:22" s="1" customFormat="1" ht="12.75" customHeight="1" outlineLevel="1" x14ac:dyDescent="0.25">
      <c r="A242" s="19" t="s">
        <v>58</v>
      </c>
      <c r="B242" s="20"/>
      <c r="C242" s="17"/>
      <c r="D242" s="11"/>
      <c r="E242" s="11"/>
      <c r="F242" s="17"/>
      <c r="G242" s="17"/>
      <c r="H242" s="17"/>
      <c r="I242" s="17"/>
      <c r="J242" s="17"/>
      <c r="K242" s="17"/>
      <c r="L242" s="18"/>
      <c r="M242" s="17"/>
      <c r="N242" s="17"/>
      <c r="O242" s="15"/>
      <c r="P242" s="15"/>
      <c r="Q242" s="15"/>
      <c r="R242" s="15"/>
      <c r="S242" s="15"/>
      <c r="T242" s="15"/>
      <c r="U242" s="15"/>
      <c r="V242" s="15"/>
    </row>
    <row r="243" spans="1:22" ht="12.75" customHeight="1" x14ac:dyDescent="0.2">
      <c r="A243" s="12">
        <v>204</v>
      </c>
      <c r="B243" s="21" t="s">
        <v>175</v>
      </c>
      <c r="C243" s="11">
        <v>4162.28</v>
      </c>
      <c r="D243" s="11">
        <f t="shared" ref="D243:D259" si="27">F243+G243+H243+I243+J243+K243+M243+O243+Q243+S243+U243+V243</f>
        <v>2354400</v>
      </c>
      <c r="E243" s="11">
        <f t="shared" ref="E243:E259" si="28">D243</f>
        <v>2354400</v>
      </c>
      <c r="F243" s="15"/>
      <c r="G243" s="15"/>
      <c r="H243" s="15"/>
      <c r="I243" s="15"/>
      <c r="J243" s="15"/>
      <c r="K243" s="15"/>
      <c r="L243" s="16"/>
      <c r="M243" s="15"/>
      <c r="N243" s="15"/>
      <c r="O243" s="11"/>
      <c r="P243" s="15"/>
      <c r="Q243" s="15"/>
      <c r="R243" s="11">
        <v>2160</v>
      </c>
      <c r="S243" s="11">
        <v>2160000</v>
      </c>
      <c r="T243" s="15"/>
      <c r="U243" s="15"/>
      <c r="V243" s="15">
        <v>194400</v>
      </c>
    </row>
    <row r="244" spans="1:22" x14ac:dyDescent="0.2">
      <c r="A244" s="12">
        <v>205</v>
      </c>
      <c r="B244" s="21" t="s">
        <v>177</v>
      </c>
      <c r="C244" s="11">
        <v>4162.1400000000003</v>
      </c>
      <c r="D244" s="11">
        <f t="shared" si="27"/>
        <v>1624600</v>
      </c>
      <c r="E244" s="11">
        <f t="shared" si="28"/>
        <v>1624600</v>
      </c>
      <c r="F244" s="15"/>
      <c r="G244" s="15"/>
      <c r="H244" s="15"/>
      <c r="I244" s="15"/>
      <c r="J244" s="15"/>
      <c r="K244" s="15"/>
      <c r="L244" s="16"/>
      <c r="M244" s="15"/>
      <c r="N244" s="15"/>
      <c r="O244" s="11"/>
      <c r="P244" s="15">
        <v>663</v>
      </c>
      <c r="Q244" s="15">
        <v>1440000</v>
      </c>
      <c r="R244" s="15"/>
      <c r="S244" s="15"/>
      <c r="T244" s="15"/>
      <c r="U244" s="15"/>
      <c r="V244" s="15">
        <v>184600</v>
      </c>
    </row>
    <row r="245" spans="1:22" ht="12.75" customHeight="1" x14ac:dyDescent="0.2">
      <c r="A245" s="12">
        <v>206</v>
      </c>
      <c r="B245" s="21" t="s">
        <v>179</v>
      </c>
      <c r="C245" s="11">
        <v>3856.95</v>
      </c>
      <c r="D245" s="11">
        <f t="shared" si="27"/>
        <v>10985055</v>
      </c>
      <c r="E245" s="11">
        <f t="shared" si="28"/>
        <v>10985055</v>
      </c>
      <c r="F245" s="11">
        <f>2600000-50000-25000</f>
        <v>2525000</v>
      </c>
      <c r="G245" s="11">
        <f>2550000-25000</f>
        <v>2525000</v>
      </c>
      <c r="H245" s="11"/>
      <c r="I245" s="11"/>
      <c r="J245" s="11">
        <f>2100000-50000</f>
        <v>2050000</v>
      </c>
      <c r="K245" s="11">
        <v>2000000</v>
      </c>
      <c r="L245" s="13"/>
      <c r="M245" s="15"/>
      <c r="N245" s="15"/>
      <c r="O245" s="15"/>
      <c r="P245" s="11">
        <v>900</v>
      </c>
      <c r="Q245" s="15">
        <v>1000050</v>
      </c>
      <c r="R245" s="15"/>
      <c r="S245" s="15"/>
      <c r="T245" s="15"/>
      <c r="U245" s="15"/>
      <c r="V245" s="15">
        <v>885005</v>
      </c>
    </row>
    <row r="246" spans="1:22" ht="12.75" customHeight="1" x14ac:dyDescent="0.2">
      <c r="A246" s="12">
        <v>207</v>
      </c>
      <c r="B246" s="21" t="s">
        <v>167</v>
      </c>
      <c r="C246" s="11">
        <v>3011.38</v>
      </c>
      <c r="D246" s="11">
        <f t="shared" si="27"/>
        <v>8591347</v>
      </c>
      <c r="E246" s="11">
        <f t="shared" si="28"/>
        <v>8591347</v>
      </c>
      <c r="F246" s="11">
        <f>2000000-100000-25000</f>
        <v>1875000</v>
      </c>
      <c r="G246" s="15"/>
      <c r="H246" s="15"/>
      <c r="I246" s="15"/>
      <c r="J246" s="11">
        <f>1900000-25000</f>
        <v>1875000</v>
      </c>
      <c r="K246" s="11">
        <f>1900000-25000</f>
        <v>1875000</v>
      </c>
      <c r="L246" s="16"/>
      <c r="M246" s="11"/>
      <c r="N246" s="15"/>
      <c r="O246" s="11"/>
      <c r="P246" s="15"/>
      <c r="Q246" s="15"/>
      <c r="R246" s="15"/>
      <c r="S246" s="15"/>
      <c r="T246" s="15">
        <v>550</v>
      </c>
      <c r="U246" s="15">
        <v>2212245</v>
      </c>
      <c r="V246" s="15">
        <v>754102</v>
      </c>
    </row>
    <row r="247" spans="1:22" ht="12.75" customHeight="1" x14ac:dyDescent="0.2">
      <c r="A247" s="12">
        <v>208</v>
      </c>
      <c r="B247" s="21" t="s">
        <v>174</v>
      </c>
      <c r="C247" s="11">
        <v>4043.1</v>
      </c>
      <c r="D247" s="11">
        <f t="shared" si="27"/>
        <v>18873700</v>
      </c>
      <c r="E247" s="11">
        <f t="shared" si="28"/>
        <v>18873700</v>
      </c>
      <c r="F247" s="15">
        <v>2200000</v>
      </c>
      <c r="G247" s="15"/>
      <c r="H247" s="15"/>
      <c r="I247" s="15"/>
      <c r="J247" s="11">
        <v>2900000</v>
      </c>
      <c r="K247" s="15">
        <v>2330000</v>
      </c>
      <c r="L247" s="16"/>
      <c r="M247" s="11"/>
      <c r="N247" s="15">
        <v>590</v>
      </c>
      <c r="O247" s="11">
        <f>5500000-78000</f>
        <v>5422000</v>
      </c>
      <c r="P247" s="15">
        <v>630</v>
      </c>
      <c r="Q247" s="11">
        <v>2000000</v>
      </c>
      <c r="R247" s="15">
        <v>3770</v>
      </c>
      <c r="S247" s="15">
        <v>2600000</v>
      </c>
      <c r="T247" s="15"/>
      <c r="U247" s="15"/>
      <c r="V247" s="15">
        <v>1421700</v>
      </c>
    </row>
    <row r="248" spans="1:22" x14ac:dyDescent="0.2">
      <c r="A248" s="12">
        <v>209</v>
      </c>
      <c r="B248" s="21" t="s">
        <v>178</v>
      </c>
      <c r="C248" s="11">
        <v>6371.6</v>
      </c>
      <c r="D248" s="11">
        <f t="shared" si="27"/>
        <v>2024600</v>
      </c>
      <c r="E248" s="11">
        <f t="shared" si="28"/>
        <v>2024600</v>
      </c>
      <c r="F248" s="15"/>
      <c r="G248" s="15"/>
      <c r="H248" s="15"/>
      <c r="I248" s="15"/>
      <c r="J248" s="15"/>
      <c r="K248" s="15"/>
      <c r="L248" s="16"/>
      <c r="M248" s="15"/>
      <c r="N248" s="15"/>
      <c r="O248" s="11"/>
      <c r="P248" s="15"/>
      <c r="Q248" s="15"/>
      <c r="R248" s="28">
        <v>3611.8</v>
      </c>
      <c r="S248" s="28">
        <v>1840000</v>
      </c>
      <c r="T248" s="15"/>
      <c r="U248" s="15"/>
      <c r="V248" s="15">
        <v>184600</v>
      </c>
    </row>
    <row r="249" spans="1:22" ht="12.75" customHeight="1" x14ac:dyDescent="0.2">
      <c r="A249" s="12">
        <v>210</v>
      </c>
      <c r="B249" s="21" t="s">
        <v>462</v>
      </c>
      <c r="C249" s="11">
        <v>8719</v>
      </c>
      <c r="D249" s="11">
        <f t="shared" si="27"/>
        <v>20573700</v>
      </c>
      <c r="E249" s="11">
        <f t="shared" si="28"/>
        <v>20573700</v>
      </c>
      <c r="F249" s="11">
        <v>2100000</v>
      </c>
      <c r="G249" s="11">
        <v>2100000</v>
      </c>
      <c r="H249" s="11"/>
      <c r="I249" s="15"/>
      <c r="J249" s="11">
        <v>2100000</v>
      </c>
      <c r="K249" s="11">
        <v>2100000</v>
      </c>
      <c r="L249" s="16"/>
      <c r="M249" s="11"/>
      <c r="N249" s="15">
        <v>965</v>
      </c>
      <c r="O249" s="11">
        <f>8330000-112000</f>
        <v>8218000</v>
      </c>
      <c r="P249" s="15"/>
      <c r="Q249" s="15"/>
      <c r="R249" s="15"/>
      <c r="S249" s="15"/>
      <c r="T249" s="15">
        <v>300</v>
      </c>
      <c r="U249" s="15">
        <v>2500000</v>
      </c>
      <c r="V249" s="15">
        <v>1455700</v>
      </c>
    </row>
    <row r="250" spans="1:22" x14ac:dyDescent="0.2">
      <c r="A250" s="12">
        <v>211</v>
      </c>
      <c r="B250" s="21" t="s">
        <v>176</v>
      </c>
      <c r="C250" s="11">
        <v>4580.1099999999997</v>
      </c>
      <c r="D250" s="11">
        <f t="shared" si="27"/>
        <v>2424600</v>
      </c>
      <c r="E250" s="11">
        <f t="shared" si="28"/>
        <v>2424600</v>
      </c>
      <c r="F250" s="15"/>
      <c r="G250" s="15"/>
      <c r="H250" s="15"/>
      <c r="I250" s="15"/>
      <c r="J250" s="15"/>
      <c r="K250" s="15"/>
      <c r="L250" s="16"/>
      <c r="M250" s="15"/>
      <c r="N250" s="15"/>
      <c r="O250" s="11"/>
      <c r="P250" s="15"/>
      <c r="Q250" s="15"/>
      <c r="R250" s="28">
        <v>2878.4</v>
      </c>
      <c r="S250" s="28">
        <v>2240000</v>
      </c>
      <c r="T250" s="15"/>
      <c r="U250" s="15"/>
      <c r="V250" s="15">
        <v>184600</v>
      </c>
    </row>
    <row r="251" spans="1:22" ht="12.75" customHeight="1" x14ac:dyDescent="0.2">
      <c r="A251" s="12">
        <v>212</v>
      </c>
      <c r="B251" s="21" t="s">
        <v>391</v>
      </c>
      <c r="C251" s="11">
        <v>2217</v>
      </c>
      <c r="D251" s="11">
        <f t="shared" si="27"/>
        <v>4564920</v>
      </c>
      <c r="E251" s="11">
        <f t="shared" si="28"/>
        <v>4564920</v>
      </c>
      <c r="F251" s="11"/>
      <c r="G251" s="11"/>
      <c r="H251" s="11"/>
      <c r="I251" s="15"/>
      <c r="J251" s="11"/>
      <c r="K251" s="11"/>
      <c r="L251" s="16"/>
      <c r="M251" s="15"/>
      <c r="N251" s="15">
        <v>698</v>
      </c>
      <c r="O251" s="11">
        <v>4188000</v>
      </c>
      <c r="P251" s="15"/>
      <c r="Q251" s="15"/>
      <c r="R251" s="15"/>
      <c r="S251" s="15"/>
      <c r="T251" s="15"/>
      <c r="U251" s="15"/>
      <c r="V251" s="15">
        <v>376920</v>
      </c>
    </row>
    <row r="252" spans="1:22" ht="12.75" customHeight="1" x14ac:dyDescent="0.2">
      <c r="A252" s="12">
        <v>213</v>
      </c>
      <c r="B252" s="21" t="s">
        <v>392</v>
      </c>
      <c r="C252" s="11">
        <v>2279.9</v>
      </c>
      <c r="D252" s="11">
        <f t="shared" si="27"/>
        <v>3976320</v>
      </c>
      <c r="E252" s="11">
        <f t="shared" si="28"/>
        <v>3976320</v>
      </c>
      <c r="F252" s="11"/>
      <c r="G252" s="11"/>
      <c r="H252" s="11"/>
      <c r="I252" s="15"/>
      <c r="J252" s="11"/>
      <c r="K252" s="11"/>
      <c r="L252" s="16"/>
      <c r="M252" s="15"/>
      <c r="N252" s="15">
        <v>608</v>
      </c>
      <c r="O252" s="11">
        <v>3648000</v>
      </c>
      <c r="P252" s="15"/>
      <c r="Q252" s="15"/>
      <c r="R252" s="15"/>
      <c r="S252" s="15"/>
      <c r="T252" s="15"/>
      <c r="U252" s="15"/>
      <c r="V252" s="15">
        <v>328320</v>
      </c>
    </row>
    <row r="253" spans="1:22" ht="12.75" customHeight="1" x14ac:dyDescent="0.2">
      <c r="A253" s="12">
        <v>214</v>
      </c>
      <c r="B253" s="21" t="s">
        <v>171</v>
      </c>
      <c r="C253" s="11">
        <v>7712.77</v>
      </c>
      <c r="D253" s="11">
        <f t="shared" si="27"/>
        <v>12684000</v>
      </c>
      <c r="E253" s="11">
        <f t="shared" si="28"/>
        <v>12684000</v>
      </c>
      <c r="F253" s="11">
        <f>2600000-50000-50000</f>
        <v>2500000</v>
      </c>
      <c r="G253" s="11">
        <f>2100000-50000</f>
        <v>2050000</v>
      </c>
      <c r="H253" s="11"/>
      <c r="I253" s="15"/>
      <c r="J253" s="11">
        <f>2600000-50000-50000</f>
        <v>2500000</v>
      </c>
      <c r="K253" s="11">
        <v>2600000</v>
      </c>
      <c r="L253" s="16"/>
      <c r="M253" s="15"/>
      <c r="N253" s="15"/>
      <c r="O253" s="11"/>
      <c r="P253" s="15"/>
      <c r="Q253" s="15"/>
      <c r="R253" s="15">
        <v>3941</v>
      </c>
      <c r="S253" s="15">
        <v>2100000</v>
      </c>
      <c r="T253" s="15"/>
      <c r="U253" s="15"/>
      <c r="V253" s="15">
        <v>934000</v>
      </c>
    </row>
    <row r="254" spans="1:22" ht="12.75" customHeight="1" x14ac:dyDescent="0.2">
      <c r="A254" s="12">
        <v>215</v>
      </c>
      <c r="B254" s="21" t="s">
        <v>172</v>
      </c>
      <c r="C254" s="11">
        <v>4115.3</v>
      </c>
      <c r="D254" s="11">
        <f t="shared" si="27"/>
        <v>7967682</v>
      </c>
      <c r="E254" s="11">
        <f t="shared" si="28"/>
        <v>7967682</v>
      </c>
      <c r="F254" s="11"/>
      <c r="G254" s="11"/>
      <c r="H254" s="11"/>
      <c r="I254" s="15"/>
      <c r="J254" s="11"/>
      <c r="K254" s="11"/>
      <c r="L254" s="16"/>
      <c r="M254" s="15"/>
      <c r="N254" s="15">
        <v>1218.3</v>
      </c>
      <c r="O254" s="11">
        <v>7309800</v>
      </c>
      <c r="P254" s="15"/>
      <c r="Q254" s="15"/>
      <c r="R254" s="15"/>
      <c r="S254" s="15"/>
      <c r="T254" s="15"/>
      <c r="U254" s="15"/>
      <c r="V254" s="15">
        <v>657882</v>
      </c>
    </row>
    <row r="255" spans="1:22" ht="12.75" customHeight="1" x14ac:dyDescent="0.2">
      <c r="A255" s="12">
        <v>216</v>
      </c>
      <c r="B255" s="21" t="s">
        <v>170</v>
      </c>
      <c r="C255" s="11">
        <v>2901.8</v>
      </c>
      <c r="D255" s="11">
        <f t="shared" si="27"/>
        <v>12785632</v>
      </c>
      <c r="E255" s="11">
        <f t="shared" si="28"/>
        <v>12785632</v>
      </c>
      <c r="F255" s="11">
        <v>2100000</v>
      </c>
      <c r="G255" s="11">
        <f>2700000-100000-123000</f>
        <v>2477000</v>
      </c>
      <c r="H255" s="11"/>
      <c r="I255" s="15"/>
      <c r="J255" s="11">
        <f>2791632-100000</f>
        <v>2691632</v>
      </c>
      <c r="K255" s="11">
        <v>2500000</v>
      </c>
      <c r="L255" s="16"/>
      <c r="M255" s="15"/>
      <c r="N255" s="15"/>
      <c r="O255" s="11"/>
      <c r="P255" s="15">
        <v>686</v>
      </c>
      <c r="Q255" s="15">
        <v>2100000</v>
      </c>
      <c r="R255" s="15"/>
      <c r="S255" s="15"/>
      <c r="T255" s="15"/>
      <c r="U255" s="15"/>
      <c r="V255" s="15">
        <v>917000</v>
      </c>
    </row>
    <row r="256" spans="1:22" ht="12.75" customHeight="1" x14ac:dyDescent="0.2">
      <c r="A256" s="12">
        <v>217</v>
      </c>
      <c r="B256" s="21" t="s">
        <v>180</v>
      </c>
      <c r="C256" s="11">
        <v>5438.9</v>
      </c>
      <c r="D256" s="11">
        <f t="shared" si="27"/>
        <v>7965720</v>
      </c>
      <c r="E256" s="11">
        <f t="shared" si="28"/>
        <v>7965720</v>
      </c>
      <c r="F256" s="11"/>
      <c r="G256" s="11"/>
      <c r="H256" s="11"/>
      <c r="I256" s="15"/>
      <c r="J256" s="11"/>
      <c r="K256" s="11"/>
      <c r="L256" s="16"/>
      <c r="M256" s="15"/>
      <c r="N256" s="15">
        <v>1218.3</v>
      </c>
      <c r="O256" s="11">
        <v>7308000</v>
      </c>
      <c r="P256" s="15"/>
      <c r="Q256" s="15"/>
      <c r="R256" s="15"/>
      <c r="S256" s="15"/>
      <c r="T256" s="15"/>
      <c r="U256" s="15"/>
      <c r="V256" s="15">
        <v>657720</v>
      </c>
    </row>
    <row r="257" spans="1:22" ht="12.75" customHeight="1" x14ac:dyDescent="0.2">
      <c r="A257" s="12">
        <v>218</v>
      </c>
      <c r="B257" s="21" t="s">
        <v>168</v>
      </c>
      <c r="C257" s="11">
        <v>4255.3999999999996</v>
      </c>
      <c r="D257" s="11">
        <f t="shared" si="27"/>
        <v>5646200</v>
      </c>
      <c r="E257" s="11">
        <f t="shared" si="28"/>
        <v>5646200</v>
      </c>
      <c r="F257" s="11"/>
      <c r="G257" s="11"/>
      <c r="H257" s="11"/>
      <c r="I257" s="11"/>
      <c r="J257" s="11"/>
      <c r="K257" s="11"/>
      <c r="L257" s="16"/>
      <c r="M257" s="15"/>
      <c r="N257" s="15">
        <v>1295</v>
      </c>
      <c r="O257" s="11">
        <v>5180000</v>
      </c>
      <c r="P257" s="15"/>
      <c r="Q257" s="15"/>
      <c r="R257" s="15"/>
      <c r="S257" s="15"/>
      <c r="T257" s="15"/>
      <c r="U257" s="15"/>
      <c r="V257" s="15">
        <v>466200.00000000006</v>
      </c>
    </row>
    <row r="258" spans="1:22" ht="12.75" customHeight="1" x14ac:dyDescent="0.2">
      <c r="A258" s="12">
        <v>219</v>
      </c>
      <c r="B258" s="21" t="s">
        <v>169</v>
      </c>
      <c r="C258" s="11">
        <v>3001</v>
      </c>
      <c r="D258" s="11">
        <f t="shared" si="27"/>
        <v>4098400</v>
      </c>
      <c r="E258" s="11">
        <f t="shared" si="28"/>
        <v>4098400</v>
      </c>
      <c r="F258" s="15"/>
      <c r="G258" s="15"/>
      <c r="H258" s="15"/>
      <c r="I258" s="15"/>
      <c r="J258" s="15"/>
      <c r="K258" s="15"/>
      <c r="L258" s="16"/>
      <c r="M258" s="15"/>
      <c r="N258" s="15">
        <v>940</v>
      </c>
      <c r="O258" s="11">
        <v>3760000</v>
      </c>
      <c r="P258" s="15"/>
      <c r="Q258" s="15"/>
      <c r="R258" s="15"/>
      <c r="S258" s="15"/>
      <c r="T258" s="15"/>
      <c r="U258" s="15"/>
      <c r="V258" s="15">
        <v>338400</v>
      </c>
    </row>
    <row r="259" spans="1:22" ht="12.75" customHeight="1" x14ac:dyDescent="0.2">
      <c r="A259" s="12">
        <v>220</v>
      </c>
      <c r="B259" s="21" t="s">
        <v>393</v>
      </c>
      <c r="C259" s="11">
        <v>916.74</v>
      </c>
      <c r="D259" s="11">
        <f t="shared" si="27"/>
        <v>6649000</v>
      </c>
      <c r="E259" s="11">
        <f t="shared" si="28"/>
        <v>6649000</v>
      </c>
      <c r="F259" s="15"/>
      <c r="G259" s="15"/>
      <c r="H259" s="15"/>
      <c r="I259" s="15"/>
      <c r="J259" s="15"/>
      <c r="K259" s="15"/>
      <c r="L259" s="16"/>
      <c r="M259" s="15"/>
      <c r="N259" s="15">
        <v>676</v>
      </c>
      <c r="O259" s="11">
        <v>4000000</v>
      </c>
      <c r="P259" s="15"/>
      <c r="Q259" s="15"/>
      <c r="R259" s="15">
        <v>890</v>
      </c>
      <c r="S259" s="15">
        <v>2100000</v>
      </c>
      <c r="T259" s="15"/>
      <c r="U259" s="15"/>
      <c r="V259" s="15">
        <v>549000</v>
      </c>
    </row>
    <row r="260" spans="1:22" ht="12.75" customHeight="1" x14ac:dyDescent="0.2">
      <c r="A260" s="19" t="s">
        <v>152</v>
      </c>
      <c r="B260" s="20"/>
      <c r="C260" s="17"/>
      <c r="D260" s="11"/>
      <c r="E260" s="11"/>
      <c r="F260" s="17"/>
      <c r="G260" s="17"/>
      <c r="H260" s="17"/>
      <c r="I260" s="17"/>
      <c r="J260" s="17"/>
      <c r="K260" s="17"/>
      <c r="L260" s="18"/>
      <c r="M260" s="17"/>
      <c r="N260" s="17"/>
      <c r="O260" s="17"/>
      <c r="P260" s="17"/>
      <c r="Q260" s="17"/>
      <c r="R260" s="17"/>
      <c r="S260" s="17"/>
      <c r="T260" s="17"/>
      <c r="U260" s="17"/>
      <c r="V260" s="15"/>
    </row>
    <row r="261" spans="1:22" s="1" customFormat="1" ht="12.75" customHeight="1" outlineLevel="1" x14ac:dyDescent="0.25">
      <c r="A261" s="19" t="s">
        <v>59</v>
      </c>
      <c r="B261" s="20"/>
      <c r="C261" s="17"/>
      <c r="D261" s="11"/>
      <c r="E261" s="11"/>
      <c r="F261" s="17"/>
      <c r="G261" s="17"/>
      <c r="H261" s="17"/>
      <c r="I261" s="17"/>
      <c r="J261" s="17"/>
      <c r="K261" s="17"/>
      <c r="L261" s="18"/>
      <c r="M261" s="17"/>
      <c r="N261" s="17"/>
      <c r="O261" s="15"/>
      <c r="P261" s="15"/>
      <c r="Q261" s="15"/>
      <c r="R261" s="15"/>
      <c r="S261" s="15"/>
      <c r="T261" s="15"/>
      <c r="U261" s="15"/>
      <c r="V261" s="15"/>
    </row>
    <row r="262" spans="1:22" s="4" customFormat="1" ht="12.75" customHeight="1" x14ac:dyDescent="0.2">
      <c r="A262" s="12">
        <v>221</v>
      </c>
      <c r="B262" s="21" t="s">
        <v>60</v>
      </c>
      <c r="C262" s="11">
        <v>5417.7</v>
      </c>
      <c r="D262" s="11">
        <f t="shared" ref="D262:D283" si="29">F262+G262+H262+I262+J262+K262+M262+O262+Q262+S262+U262+V262</f>
        <v>53020530.129999995</v>
      </c>
      <c r="E262" s="11">
        <f t="shared" ref="E262:E284" si="30">D262</f>
        <v>53020530.129999995</v>
      </c>
      <c r="F262" s="11"/>
      <c r="G262" s="11"/>
      <c r="H262" s="11"/>
      <c r="I262" s="11"/>
      <c r="J262" s="11">
        <v>2000000</v>
      </c>
      <c r="K262" s="11">
        <v>2000000</v>
      </c>
      <c r="L262" s="13"/>
      <c r="M262" s="15"/>
      <c r="N262" s="15">
        <v>997.2</v>
      </c>
      <c r="O262" s="15">
        <v>20278549.129999999</v>
      </c>
      <c r="P262" s="11"/>
      <c r="Q262" s="15"/>
      <c r="R262" s="15">
        <v>4543.7</v>
      </c>
      <c r="S262" s="15">
        <f>33705900-9060000-300000</f>
        <v>24345900</v>
      </c>
      <c r="T262" s="15"/>
      <c r="U262" s="15"/>
      <c r="V262" s="15">
        <v>4396081</v>
      </c>
    </row>
    <row r="263" spans="1:22" s="4" customFormat="1" ht="12.75" customHeight="1" x14ac:dyDescent="0.2">
      <c r="A263" s="12">
        <v>222</v>
      </c>
      <c r="B263" s="21" t="s">
        <v>126</v>
      </c>
      <c r="C263" s="11">
        <v>1936.1</v>
      </c>
      <c r="D263" s="11">
        <f t="shared" si="29"/>
        <v>22666121</v>
      </c>
      <c r="E263" s="11">
        <f t="shared" si="30"/>
        <v>22666121</v>
      </c>
      <c r="F263" s="11">
        <v>1500000</v>
      </c>
      <c r="G263" s="11"/>
      <c r="H263" s="11"/>
      <c r="I263" s="15"/>
      <c r="J263" s="11">
        <v>1800000</v>
      </c>
      <c r="K263" s="11"/>
      <c r="L263" s="16"/>
      <c r="M263" s="15"/>
      <c r="N263" s="15">
        <v>524.67999999999995</v>
      </c>
      <c r="O263" s="15">
        <f>5141864+3500000</f>
        <v>8641864</v>
      </c>
      <c r="P263" s="15"/>
      <c r="Q263" s="15"/>
      <c r="R263" s="15">
        <v>1729</v>
      </c>
      <c r="S263" s="15">
        <f>15061000-3500000-1000000-1800000-139000</f>
        <v>8622000</v>
      </c>
      <c r="T263" s="15"/>
      <c r="U263" s="15"/>
      <c r="V263" s="15">
        <v>2102257</v>
      </c>
    </row>
    <row r="264" spans="1:22" s="4" customFormat="1" ht="12.75" customHeight="1" x14ac:dyDescent="0.2">
      <c r="A264" s="12">
        <v>223</v>
      </c>
      <c r="B264" s="21" t="s">
        <v>127</v>
      </c>
      <c r="C264" s="11">
        <v>1746.4</v>
      </c>
      <c r="D264" s="11">
        <f t="shared" si="29"/>
        <v>26866493</v>
      </c>
      <c r="E264" s="11">
        <f t="shared" si="30"/>
        <v>26866493</v>
      </c>
      <c r="F264" s="11">
        <v>3000000</v>
      </c>
      <c r="G264" s="11"/>
      <c r="H264" s="11"/>
      <c r="I264" s="15"/>
      <c r="J264" s="11">
        <v>3000000</v>
      </c>
      <c r="K264" s="11">
        <v>3000000</v>
      </c>
      <c r="L264" s="16"/>
      <c r="M264" s="15"/>
      <c r="N264" s="15">
        <v>619</v>
      </c>
      <c r="O264" s="15">
        <f>6066200+1500000+87000</f>
        <v>7653200</v>
      </c>
      <c r="P264" s="15"/>
      <c r="Q264" s="15"/>
      <c r="R264" s="15">
        <v>2003.5</v>
      </c>
      <c r="S264" s="15">
        <f>17531500-1500000-5000000-3000000-87000-55000</f>
        <v>7889500</v>
      </c>
      <c r="T264" s="15"/>
      <c r="U264" s="15"/>
      <c r="V264" s="15">
        <v>2323793</v>
      </c>
    </row>
    <row r="265" spans="1:22" s="5" customFormat="1" ht="12.75" customHeight="1" x14ac:dyDescent="0.2">
      <c r="A265" s="12">
        <v>224</v>
      </c>
      <c r="B265" s="21" t="s">
        <v>385</v>
      </c>
      <c r="C265" s="11">
        <v>3958.4</v>
      </c>
      <c r="D265" s="11">
        <f t="shared" si="29"/>
        <v>46572832</v>
      </c>
      <c r="E265" s="11">
        <f t="shared" si="30"/>
        <v>46572832</v>
      </c>
      <c r="F265" s="11">
        <v>2000000</v>
      </c>
      <c r="G265" s="11"/>
      <c r="H265" s="11"/>
      <c r="I265" s="15"/>
      <c r="J265" s="11">
        <v>2000000</v>
      </c>
      <c r="K265" s="11">
        <v>2000000</v>
      </c>
      <c r="L265" s="16"/>
      <c r="M265" s="15"/>
      <c r="N265" s="15">
        <v>576</v>
      </c>
      <c r="O265" s="15">
        <f>5644800+12000000</f>
        <v>17644800</v>
      </c>
      <c r="P265" s="15"/>
      <c r="Q265" s="15"/>
      <c r="R265" s="15">
        <v>6000</v>
      </c>
      <c r="S265" s="15">
        <f>48000000-12000000-6000000-12000000</f>
        <v>18000000</v>
      </c>
      <c r="T265" s="15"/>
      <c r="U265" s="15"/>
      <c r="V265" s="15">
        <v>4928032</v>
      </c>
    </row>
    <row r="266" spans="1:22" s="5" customFormat="1" ht="12.75" customHeight="1" x14ac:dyDescent="0.2">
      <c r="A266" s="12">
        <v>225</v>
      </c>
      <c r="B266" s="21" t="s">
        <v>386</v>
      </c>
      <c r="C266" s="11">
        <v>3906.6</v>
      </c>
      <c r="D266" s="11">
        <f t="shared" si="29"/>
        <v>6242150</v>
      </c>
      <c r="E266" s="11">
        <f t="shared" si="30"/>
        <v>6242150</v>
      </c>
      <c r="F266" s="11"/>
      <c r="G266" s="11"/>
      <c r="H266" s="11"/>
      <c r="I266" s="15"/>
      <c r="J266" s="11"/>
      <c r="K266" s="11"/>
      <c r="L266" s="16"/>
      <c r="M266" s="15"/>
      <c r="N266" s="15">
        <v>575</v>
      </c>
      <c r="O266" s="15">
        <v>5635000</v>
      </c>
      <c r="P266" s="15"/>
      <c r="Q266" s="15"/>
      <c r="R266" s="15"/>
      <c r="S266" s="15"/>
      <c r="T266" s="15"/>
      <c r="U266" s="15"/>
      <c r="V266" s="15">
        <v>607150</v>
      </c>
    </row>
    <row r="267" spans="1:22" s="5" customFormat="1" ht="12.75" customHeight="1" x14ac:dyDescent="0.2">
      <c r="A267" s="12">
        <v>226</v>
      </c>
      <c r="B267" s="21" t="s">
        <v>387</v>
      </c>
      <c r="C267" s="11">
        <v>5453.1</v>
      </c>
      <c r="D267" s="11">
        <f t="shared" si="29"/>
        <v>62924418</v>
      </c>
      <c r="E267" s="11">
        <f t="shared" si="30"/>
        <v>62924418</v>
      </c>
      <c r="F267" s="11">
        <v>2000000</v>
      </c>
      <c r="G267" s="11"/>
      <c r="H267" s="11"/>
      <c r="I267" s="15"/>
      <c r="J267" s="11">
        <v>3150000</v>
      </c>
      <c r="K267" s="11">
        <v>2000000</v>
      </c>
      <c r="L267" s="16"/>
      <c r="M267" s="15"/>
      <c r="N267" s="15">
        <v>1296.8</v>
      </c>
      <c r="O267" s="15">
        <f>12708640+12000000</f>
        <v>24708640</v>
      </c>
      <c r="P267" s="15"/>
      <c r="Q267" s="15"/>
      <c r="R267" s="15">
        <v>6200</v>
      </c>
      <c r="S267" s="15">
        <f>54800000-12000000-6000000-12000000</f>
        <v>24800000</v>
      </c>
      <c r="T267" s="15"/>
      <c r="U267" s="15"/>
      <c r="V267" s="15">
        <v>6265778</v>
      </c>
    </row>
    <row r="268" spans="1:22" s="5" customFormat="1" ht="12.75" customHeight="1" x14ac:dyDescent="0.2">
      <c r="A268" s="12">
        <v>227</v>
      </c>
      <c r="B268" s="21" t="s">
        <v>388</v>
      </c>
      <c r="C268" s="11">
        <v>7353.1</v>
      </c>
      <c r="D268" s="11">
        <f t="shared" si="29"/>
        <v>62857101</v>
      </c>
      <c r="E268" s="11">
        <f t="shared" si="30"/>
        <v>62857101</v>
      </c>
      <c r="F268" s="11"/>
      <c r="G268" s="11"/>
      <c r="H268" s="11"/>
      <c r="I268" s="15"/>
      <c r="J268" s="11"/>
      <c r="K268" s="11"/>
      <c r="L268" s="16"/>
      <c r="M268" s="15"/>
      <c r="N268" s="15">
        <v>1432.7</v>
      </c>
      <c r="O268" s="15">
        <f>14040460+4120000+6000000</f>
        <v>24160460</v>
      </c>
      <c r="P268" s="15"/>
      <c r="Q268" s="15"/>
      <c r="R268" s="15">
        <v>4800</v>
      </c>
      <c r="S268" s="15">
        <f>42565000-5000000-4120000-113000</f>
        <v>33332000</v>
      </c>
      <c r="T268" s="15"/>
      <c r="U268" s="15"/>
      <c r="V268" s="15">
        <v>5364641</v>
      </c>
    </row>
    <row r="269" spans="1:22" s="5" customFormat="1" ht="12.75" customHeight="1" x14ac:dyDescent="0.2">
      <c r="A269" s="12">
        <v>228</v>
      </c>
      <c r="B269" s="21" t="s">
        <v>389</v>
      </c>
      <c r="C269" s="11">
        <v>6334.7</v>
      </c>
      <c r="D269" s="11">
        <f t="shared" si="29"/>
        <v>28818070.629999999</v>
      </c>
      <c r="E269" s="11">
        <f t="shared" si="30"/>
        <v>28818070.629999999</v>
      </c>
      <c r="F269" s="11"/>
      <c r="G269" s="11"/>
      <c r="H269" s="11"/>
      <c r="I269" s="15"/>
      <c r="J269" s="11"/>
      <c r="K269" s="11"/>
      <c r="L269" s="16"/>
      <c r="M269" s="15"/>
      <c r="N269" s="15">
        <v>984</v>
      </c>
      <c r="O269" s="15">
        <f>9643200+19174870.63-402000-967888</f>
        <v>27448182.629999999</v>
      </c>
      <c r="P269" s="15"/>
      <c r="Q269" s="15"/>
      <c r="R269" s="15"/>
      <c r="S269" s="15"/>
      <c r="T269" s="15"/>
      <c r="U269" s="15"/>
      <c r="V269" s="15">
        <v>1369888</v>
      </c>
    </row>
    <row r="270" spans="1:22" s="5" customFormat="1" ht="12.75" customHeight="1" x14ac:dyDescent="0.2">
      <c r="A270" s="12">
        <v>229</v>
      </c>
      <c r="B270" s="21" t="s">
        <v>390</v>
      </c>
      <c r="C270" s="11">
        <v>9248.1</v>
      </c>
      <c r="D270" s="11">
        <f t="shared" si="29"/>
        <v>31180952.25</v>
      </c>
      <c r="E270" s="11">
        <f t="shared" si="30"/>
        <v>31180952.25</v>
      </c>
      <c r="F270" s="11"/>
      <c r="G270" s="11"/>
      <c r="H270" s="11"/>
      <c r="I270" s="15"/>
      <c r="J270" s="11"/>
      <c r="K270" s="11"/>
      <c r="L270" s="16"/>
      <c r="M270" s="15"/>
      <c r="N270" s="15">
        <v>1012</v>
      </c>
      <c r="O270" s="15">
        <f>9917600+19302880.25-405000+967888</f>
        <v>29783368.25</v>
      </c>
      <c r="P270" s="15"/>
      <c r="Q270" s="15"/>
      <c r="R270" s="15"/>
      <c r="S270" s="15"/>
      <c r="T270" s="15"/>
      <c r="U270" s="15"/>
      <c r="V270" s="15">
        <v>1397584</v>
      </c>
    </row>
    <row r="271" spans="1:22" s="5" customFormat="1" ht="12.75" customHeight="1" x14ac:dyDescent="0.2">
      <c r="A271" s="12">
        <v>230</v>
      </c>
      <c r="B271" s="21" t="s">
        <v>125</v>
      </c>
      <c r="C271" s="11">
        <v>8486.2000000000007</v>
      </c>
      <c r="D271" s="11">
        <f t="shared" si="29"/>
        <v>35852220</v>
      </c>
      <c r="E271" s="11">
        <f t="shared" si="30"/>
        <v>35852220</v>
      </c>
      <c r="F271" s="11"/>
      <c r="G271" s="11"/>
      <c r="H271" s="11"/>
      <c r="I271" s="15"/>
      <c r="J271" s="11"/>
      <c r="K271" s="11"/>
      <c r="L271" s="16"/>
      <c r="M271" s="15"/>
      <c r="N271" s="15">
        <v>1172</v>
      </c>
      <c r="O271" s="15">
        <f>11485600+18127000</f>
        <v>29612600</v>
      </c>
      <c r="P271" s="15"/>
      <c r="Q271" s="15"/>
      <c r="R271" s="15"/>
      <c r="S271" s="15"/>
      <c r="T271" s="15"/>
      <c r="U271" s="15"/>
      <c r="V271" s="15">
        <v>6239620</v>
      </c>
    </row>
    <row r="272" spans="1:22" s="5" customFormat="1" ht="12.75" customHeight="1" x14ac:dyDescent="0.2">
      <c r="A272" s="12">
        <v>231</v>
      </c>
      <c r="B272" s="21" t="s">
        <v>470</v>
      </c>
      <c r="C272" s="11">
        <v>3900.3</v>
      </c>
      <c r="D272" s="11">
        <f t="shared" si="29"/>
        <v>55092864.719999999</v>
      </c>
      <c r="E272" s="11">
        <f t="shared" si="30"/>
        <v>55092864.719999999</v>
      </c>
      <c r="F272" s="11">
        <v>5000000</v>
      </c>
      <c r="G272" s="11"/>
      <c r="H272" s="11"/>
      <c r="I272" s="15"/>
      <c r="J272" s="11">
        <v>7000000</v>
      </c>
      <c r="K272" s="11">
        <v>5000000</v>
      </c>
      <c r="L272" s="16"/>
      <c r="M272" s="15"/>
      <c r="N272" s="15">
        <v>887</v>
      </c>
      <c r="O272" s="15">
        <f>8692600-50000+464000+2000000+6000000+636800.72</f>
        <v>17743400.719999999</v>
      </c>
      <c r="P272" s="15"/>
      <c r="Q272" s="15"/>
      <c r="R272" s="15">
        <v>2023</v>
      </c>
      <c r="S272" s="15">
        <f>18207000-464000-650000</f>
        <v>17093000</v>
      </c>
      <c r="T272" s="15"/>
      <c r="U272" s="15"/>
      <c r="V272" s="15">
        <v>3256464</v>
      </c>
    </row>
    <row r="273" spans="1:22" s="5" customFormat="1" ht="12.75" customHeight="1" x14ac:dyDescent="0.2">
      <c r="A273" s="12">
        <v>232</v>
      </c>
      <c r="B273" s="21" t="s">
        <v>124</v>
      </c>
      <c r="C273" s="11">
        <v>4262.2</v>
      </c>
      <c r="D273" s="11">
        <f t="shared" si="29"/>
        <v>44184897</v>
      </c>
      <c r="E273" s="11">
        <f t="shared" si="30"/>
        <v>44184897</v>
      </c>
      <c r="F273" s="11"/>
      <c r="G273" s="11"/>
      <c r="H273" s="11"/>
      <c r="I273" s="15"/>
      <c r="J273" s="11"/>
      <c r="K273" s="11">
        <v>1700000</v>
      </c>
      <c r="L273" s="16"/>
      <c r="M273" s="15"/>
      <c r="N273" s="15">
        <v>1617.9</v>
      </c>
      <c r="O273" s="15">
        <f>15855420+500000+3000000</f>
        <v>19355420</v>
      </c>
      <c r="P273" s="15"/>
      <c r="Q273" s="15"/>
      <c r="R273" s="15">
        <v>2732.16</v>
      </c>
      <c r="S273" s="15">
        <f>24089440-3000000-1700000-175000</f>
        <v>19214440</v>
      </c>
      <c r="T273" s="15"/>
      <c r="U273" s="15"/>
      <c r="V273" s="15">
        <v>3915037</v>
      </c>
    </row>
    <row r="274" spans="1:22" s="5" customFormat="1" ht="12.75" customHeight="1" x14ac:dyDescent="0.2">
      <c r="A274" s="12">
        <v>233</v>
      </c>
      <c r="B274" s="21" t="s">
        <v>190</v>
      </c>
      <c r="C274" s="11">
        <v>1768.8</v>
      </c>
      <c r="D274" s="11">
        <f t="shared" si="29"/>
        <v>21322464</v>
      </c>
      <c r="E274" s="11">
        <f t="shared" si="30"/>
        <v>21322464</v>
      </c>
      <c r="F274" s="11">
        <v>2000000</v>
      </c>
      <c r="G274" s="11"/>
      <c r="H274" s="11"/>
      <c r="I274" s="15"/>
      <c r="J274" s="11"/>
      <c r="K274" s="11">
        <v>1500000</v>
      </c>
      <c r="L274" s="16"/>
      <c r="M274" s="15"/>
      <c r="N274" s="15">
        <v>652</v>
      </c>
      <c r="O274" s="15">
        <f>6389600+500000+1000000+3305</f>
        <v>7892905</v>
      </c>
      <c r="P274" s="15"/>
      <c r="Q274" s="15"/>
      <c r="R274" s="15">
        <v>1450</v>
      </c>
      <c r="S274" s="15">
        <f>11550000-3500000-3305-3700</f>
        <v>8042995</v>
      </c>
      <c r="T274" s="15"/>
      <c r="U274" s="15"/>
      <c r="V274" s="15">
        <v>1886564</v>
      </c>
    </row>
    <row r="275" spans="1:22" s="5" customFormat="1" ht="12.75" customHeight="1" x14ac:dyDescent="0.2">
      <c r="A275" s="12">
        <v>234</v>
      </c>
      <c r="B275" s="21" t="s">
        <v>62</v>
      </c>
      <c r="C275" s="11">
        <v>1662.5</v>
      </c>
      <c r="D275" s="11">
        <f t="shared" si="29"/>
        <v>23651468</v>
      </c>
      <c r="E275" s="11">
        <f t="shared" si="30"/>
        <v>23651468</v>
      </c>
      <c r="F275" s="11">
        <v>2000000</v>
      </c>
      <c r="G275" s="11"/>
      <c r="H275" s="11"/>
      <c r="I275" s="15"/>
      <c r="J275" s="11">
        <v>2000000</v>
      </c>
      <c r="K275" s="11">
        <v>2042000</v>
      </c>
      <c r="L275" s="16"/>
      <c r="M275" s="15"/>
      <c r="N275" s="15">
        <v>878</v>
      </c>
      <c r="O275" s="15">
        <f>7604400-42000</f>
        <v>7562400</v>
      </c>
      <c r="P275" s="15"/>
      <c r="Q275" s="15"/>
      <c r="R275" s="15">
        <v>1988.04</v>
      </c>
      <c r="S275" s="15">
        <f>16892360-4000000-5330000-43000</f>
        <v>7519360</v>
      </c>
      <c r="T275" s="15"/>
      <c r="U275" s="15"/>
      <c r="V275" s="15">
        <v>2527708</v>
      </c>
    </row>
    <row r="276" spans="1:22" s="5" customFormat="1" ht="12.75" customHeight="1" x14ac:dyDescent="0.2">
      <c r="A276" s="12">
        <v>235</v>
      </c>
      <c r="B276" s="21" t="s">
        <v>61</v>
      </c>
      <c r="C276" s="11">
        <v>4109.6000000000004</v>
      </c>
      <c r="D276" s="11">
        <f t="shared" si="29"/>
        <v>47722508</v>
      </c>
      <c r="E276" s="11">
        <f t="shared" si="30"/>
        <v>47722508</v>
      </c>
      <c r="F276" s="11">
        <v>2000000</v>
      </c>
      <c r="G276" s="11"/>
      <c r="H276" s="11"/>
      <c r="I276" s="15"/>
      <c r="J276" s="11">
        <v>2000000</v>
      </c>
      <c r="K276" s="11">
        <v>2000000</v>
      </c>
      <c r="L276" s="16"/>
      <c r="M276" s="15"/>
      <c r="N276" s="15">
        <v>2118.4</v>
      </c>
      <c r="O276" s="15">
        <f>22259320-3500000-64000</f>
        <v>18695320</v>
      </c>
      <c r="P276" s="15"/>
      <c r="Q276" s="15"/>
      <c r="R276" s="15">
        <v>2600</v>
      </c>
      <c r="S276" s="15">
        <f>20900000-2205000-113000</f>
        <v>18582000</v>
      </c>
      <c r="T276" s="15"/>
      <c r="U276" s="15"/>
      <c r="V276" s="15">
        <v>4445188</v>
      </c>
    </row>
    <row r="277" spans="1:22" s="5" customFormat="1" ht="12.75" customHeight="1" x14ac:dyDescent="0.2">
      <c r="A277" s="12">
        <v>236</v>
      </c>
      <c r="B277" s="21" t="s">
        <v>120</v>
      </c>
      <c r="C277" s="11">
        <v>1458</v>
      </c>
      <c r="D277" s="11">
        <f t="shared" si="29"/>
        <v>19950528.920000002</v>
      </c>
      <c r="E277" s="11">
        <f t="shared" si="30"/>
        <v>19950528.920000002</v>
      </c>
      <c r="F277" s="11">
        <v>1500000</v>
      </c>
      <c r="G277" s="11"/>
      <c r="H277" s="11"/>
      <c r="I277" s="15"/>
      <c r="J277" s="11">
        <v>1500000</v>
      </c>
      <c r="K277" s="11">
        <v>1500000</v>
      </c>
      <c r="L277" s="16"/>
      <c r="M277" s="15"/>
      <c r="N277" s="15">
        <v>525.4</v>
      </c>
      <c r="O277" s="15">
        <f>5148920+1483871.92</f>
        <v>6632791.9199999999</v>
      </c>
      <c r="P277" s="15"/>
      <c r="Q277" s="15"/>
      <c r="R277" s="15">
        <v>2003.5</v>
      </c>
      <c r="S277" s="15">
        <f>12031500-5400000</f>
        <v>6631500</v>
      </c>
      <c r="T277" s="15"/>
      <c r="U277" s="15"/>
      <c r="V277" s="15">
        <v>2186237</v>
      </c>
    </row>
    <row r="278" spans="1:22" s="5" customFormat="1" ht="12.75" customHeight="1" x14ac:dyDescent="0.2">
      <c r="A278" s="12">
        <v>237</v>
      </c>
      <c r="B278" s="21" t="s">
        <v>121</v>
      </c>
      <c r="C278" s="11">
        <v>1707.5</v>
      </c>
      <c r="D278" s="11">
        <f t="shared" si="29"/>
        <v>18604161.300000001</v>
      </c>
      <c r="E278" s="11">
        <f t="shared" si="30"/>
        <v>18604161.300000001</v>
      </c>
      <c r="F278" s="11">
        <v>1500000</v>
      </c>
      <c r="G278" s="11"/>
      <c r="H278" s="11"/>
      <c r="I278" s="15"/>
      <c r="J278" s="11"/>
      <c r="K278" s="11"/>
      <c r="L278" s="16"/>
      <c r="M278" s="15"/>
      <c r="N278" s="15">
        <v>613</v>
      </c>
      <c r="O278" s="15">
        <f>6007400+1300000+460427.3</f>
        <v>7767827.2999999998</v>
      </c>
      <c r="P278" s="15"/>
      <c r="Q278" s="15"/>
      <c r="R278" s="15">
        <v>1222.8</v>
      </c>
      <c r="S278" s="15">
        <f>10505200-1500000-1300000</f>
        <v>7705200</v>
      </c>
      <c r="T278" s="15"/>
      <c r="U278" s="15"/>
      <c r="V278" s="15">
        <v>1631134</v>
      </c>
    </row>
    <row r="279" spans="1:22" s="5" customFormat="1" ht="12.75" customHeight="1" x14ac:dyDescent="0.2">
      <c r="A279" s="12">
        <v>238</v>
      </c>
      <c r="B279" s="21" t="s">
        <v>122</v>
      </c>
      <c r="C279" s="11">
        <v>1961</v>
      </c>
      <c r="D279" s="11">
        <f t="shared" si="29"/>
        <v>8921059.6400000006</v>
      </c>
      <c r="E279" s="11">
        <f t="shared" si="30"/>
        <v>8921059.6400000006</v>
      </c>
      <c r="F279" s="11"/>
      <c r="G279" s="11"/>
      <c r="H279" s="11"/>
      <c r="I279" s="15"/>
      <c r="J279" s="11"/>
      <c r="K279" s="11"/>
      <c r="L279" s="16"/>
      <c r="M279" s="15"/>
      <c r="N279" s="15"/>
      <c r="O279" s="15"/>
      <c r="P279" s="15"/>
      <c r="Q279" s="15"/>
      <c r="R279" s="15">
        <v>1174.92</v>
      </c>
      <c r="S279" s="15">
        <v>8463281.7400000002</v>
      </c>
      <c r="T279" s="15"/>
      <c r="U279" s="15"/>
      <c r="V279" s="15">
        <v>457777.9</v>
      </c>
    </row>
    <row r="280" spans="1:22" s="5" customFormat="1" ht="12.75" customHeight="1" x14ac:dyDescent="0.2">
      <c r="A280" s="12">
        <v>239</v>
      </c>
      <c r="B280" s="21" t="s">
        <v>123</v>
      </c>
      <c r="C280" s="11">
        <v>1778.6</v>
      </c>
      <c r="D280" s="11">
        <f t="shared" si="29"/>
        <v>22531127.359999999</v>
      </c>
      <c r="E280" s="11">
        <f t="shared" si="30"/>
        <v>22531127.359999999</v>
      </c>
      <c r="F280" s="11">
        <f>500000+622000+300000+1031928.1</f>
        <v>2453928.1</v>
      </c>
      <c r="G280" s="11"/>
      <c r="H280" s="11"/>
      <c r="I280" s="15"/>
      <c r="J280" s="11">
        <v>2000000</v>
      </c>
      <c r="K280" s="11"/>
      <c r="L280" s="16"/>
      <c r="M280" s="15"/>
      <c r="N280" s="15">
        <v>889.1</v>
      </c>
      <c r="O280" s="15">
        <f>8713180-622000</f>
        <v>8091180</v>
      </c>
      <c r="P280" s="15"/>
      <c r="Q280" s="15"/>
      <c r="R280" s="15">
        <v>1201.92</v>
      </c>
      <c r="S280" s="15">
        <v>8091278.2599999998</v>
      </c>
      <c r="T280" s="15"/>
      <c r="U280" s="15"/>
      <c r="V280" s="15">
        <v>1894741</v>
      </c>
    </row>
    <row r="281" spans="1:22" s="5" customFormat="1" ht="12.75" customHeight="1" x14ac:dyDescent="0.2">
      <c r="A281" s="12">
        <v>240</v>
      </c>
      <c r="B281" s="21" t="s">
        <v>189</v>
      </c>
      <c r="C281" s="11">
        <v>2925.6</v>
      </c>
      <c r="D281" s="11">
        <f t="shared" si="29"/>
        <v>32701474</v>
      </c>
      <c r="E281" s="11">
        <f t="shared" si="30"/>
        <v>32701474</v>
      </c>
      <c r="F281" s="11">
        <v>2000000</v>
      </c>
      <c r="G281" s="11"/>
      <c r="H281" s="11"/>
      <c r="I281" s="15"/>
      <c r="J281" s="11"/>
      <c r="K281" s="11">
        <v>2000000</v>
      </c>
      <c r="L281" s="16"/>
      <c r="M281" s="15"/>
      <c r="N281" s="15">
        <v>857</v>
      </c>
      <c r="O281" s="15">
        <f>8398600+500000+1350000+3000000</f>
        <v>13248600</v>
      </c>
      <c r="P281" s="15"/>
      <c r="Q281" s="15"/>
      <c r="R281" s="15">
        <v>1700</v>
      </c>
      <c r="S281" s="15">
        <f>13300000-170000</f>
        <v>13130000</v>
      </c>
      <c r="T281" s="15"/>
      <c r="U281" s="15"/>
      <c r="V281" s="15">
        <v>2322874</v>
      </c>
    </row>
    <row r="282" spans="1:22" s="5" customFormat="1" ht="12.75" customHeight="1" x14ac:dyDescent="0.2">
      <c r="A282" s="12">
        <v>241</v>
      </c>
      <c r="B282" s="21" t="s">
        <v>187</v>
      </c>
      <c r="C282" s="11">
        <v>4424.3</v>
      </c>
      <c r="D282" s="11">
        <f t="shared" si="29"/>
        <v>5921690</v>
      </c>
      <c r="E282" s="11">
        <f t="shared" si="30"/>
        <v>5921690</v>
      </c>
      <c r="F282" s="11"/>
      <c r="G282" s="11"/>
      <c r="H282" s="11"/>
      <c r="I282" s="15"/>
      <c r="J282" s="11"/>
      <c r="K282" s="11"/>
      <c r="L282" s="16"/>
      <c r="M282" s="15"/>
      <c r="N282" s="15">
        <v>545</v>
      </c>
      <c r="O282" s="15">
        <v>5341000</v>
      </c>
      <c r="P282" s="15"/>
      <c r="Q282" s="15"/>
      <c r="R282" s="15"/>
      <c r="S282" s="15"/>
      <c r="T282" s="15"/>
      <c r="U282" s="15"/>
      <c r="V282" s="15">
        <v>580690</v>
      </c>
    </row>
    <row r="283" spans="1:22" s="5" customFormat="1" ht="12.75" customHeight="1" x14ac:dyDescent="0.2">
      <c r="A283" s="12">
        <v>242</v>
      </c>
      <c r="B283" s="21" t="s">
        <v>186</v>
      </c>
      <c r="C283" s="11">
        <v>4540.1000000000004</v>
      </c>
      <c r="D283" s="11">
        <f t="shared" si="29"/>
        <v>20787259</v>
      </c>
      <c r="E283" s="11">
        <f t="shared" si="30"/>
        <v>20787259</v>
      </c>
      <c r="F283" s="11">
        <v>3000000</v>
      </c>
      <c r="G283" s="11"/>
      <c r="H283" s="11"/>
      <c r="I283" s="15"/>
      <c r="J283" s="11">
        <f>2000000+414700</f>
        <v>2414700</v>
      </c>
      <c r="K283" s="11">
        <v>3000000</v>
      </c>
      <c r="L283" s="16"/>
      <c r="M283" s="15"/>
      <c r="N283" s="15">
        <v>904.6</v>
      </c>
      <c r="O283" s="15">
        <f>8865080+559287+2000000-218000</f>
        <v>11206367</v>
      </c>
      <c r="P283" s="15"/>
      <c r="Q283" s="15"/>
      <c r="R283" s="15"/>
      <c r="S283" s="15"/>
      <c r="T283" s="15"/>
      <c r="U283" s="15"/>
      <c r="V283" s="15">
        <v>1166192</v>
      </c>
    </row>
    <row r="284" spans="1:22" s="5" customFormat="1" ht="12.75" customHeight="1" x14ac:dyDescent="0.2">
      <c r="A284" s="12">
        <v>243</v>
      </c>
      <c r="B284" s="21" t="s">
        <v>188</v>
      </c>
      <c r="C284" s="11">
        <v>4260.3</v>
      </c>
      <c r="D284" s="11">
        <f>F284+G284+H284+I284+J284+K284+M284+O284+Q284+S284+U284+V284</f>
        <v>7192848</v>
      </c>
      <c r="E284" s="11">
        <f t="shared" si="30"/>
        <v>7192848</v>
      </c>
      <c r="F284" s="11"/>
      <c r="G284" s="11"/>
      <c r="H284" s="11"/>
      <c r="I284" s="15"/>
      <c r="J284" s="11"/>
      <c r="K284" s="11"/>
      <c r="L284" s="16"/>
      <c r="M284" s="15"/>
      <c r="N284" s="15">
        <v>664</v>
      </c>
      <c r="O284" s="15">
        <v>6507200</v>
      </c>
      <c r="P284" s="15"/>
      <c r="Q284" s="15"/>
      <c r="R284" s="15"/>
      <c r="S284" s="15"/>
      <c r="T284" s="15"/>
      <c r="U284" s="15"/>
      <c r="V284" s="15">
        <v>685648</v>
      </c>
    </row>
    <row r="285" spans="1:22" ht="12.75" customHeight="1" x14ac:dyDescent="0.2">
      <c r="A285" s="20"/>
      <c r="B285" s="20"/>
      <c r="C285" s="17">
        <v>1086095.3899999999</v>
      </c>
      <c r="D285" s="17">
        <f>SUM(D12:D284)</f>
        <v>4759199873.9500008</v>
      </c>
      <c r="E285" s="17">
        <f>F285+G285+H285+I285+J285+K285+M285+O285+Q285+S285+U285+V285</f>
        <v>4759199873.9499998</v>
      </c>
      <c r="F285" s="17">
        <f>SUM(F12:F284)</f>
        <v>143191135.97</v>
      </c>
      <c r="G285" s="17">
        <f t="shared" ref="G285:V285" si="31">SUM(G12:G284)</f>
        <v>223053093</v>
      </c>
      <c r="H285" s="17">
        <f t="shared" si="31"/>
        <v>0</v>
      </c>
      <c r="I285" s="17">
        <f t="shared" si="31"/>
        <v>0</v>
      </c>
      <c r="J285" s="17">
        <f t="shared" si="31"/>
        <v>259595799.03999999</v>
      </c>
      <c r="K285" s="17">
        <f t="shared" si="31"/>
        <v>197027819.21000001</v>
      </c>
      <c r="L285" s="29">
        <f t="shared" si="31"/>
        <v>36</v>
      </c>
      <c r="M285" s="17">
        <f t="shared" si="31"/>
        <v>169102501.34999999</v>
      </c>
      <c r="N285" s="17">
        <f t="shared" si="31"/>
        <v>166478.65</v>
      </c>
      <c r="O285" s="17">
        <f t="shared" si="31"/>
        <v>1764582646.3600004</v>
      </c>
      <c r="P285" s="17">
        <f t="shared" si="31"/>
        <v>11784.850000000002</v>
      </c>
      <c r="Q285" s="17">
        <f t="shared" si="31"/>
        <v>162557206.04000002</v>
      </c>
      <c r="R285" s="17">
        <f t="shared" si="31"/>
        <v>321171.84999999992</v>
      </c>
      <c r="S285" s="17">
        <f t="shared" si="31"/>
        <v>1376621074.8800001</v>
      </c>
      <c r="T285" s="17">
        <f t="shared" si="31"/>
        <v>5439.9</v>
      </c>
      <c r="U285" s="17">
        <f t="shared" si="31"/>
        <v>72686998.200000003</v>
      </c>
      <c r="V285" s="17">
        <f t="shared" si="31"/>
        <v>390781599.89999998</v>
      </c>
    </row>
    <row r="286" spans="1:22" ht="12.75" customHeight="1" x14ac:dyDescent="0.2">
      <c r="A286" s="43" t="s">
        <v>476</v>
      </c>
      <c r="B286" s="43"/>
      <c r="C286" s="43"/>
      <c r="D286" s="43"/>
      <c r="E286" s="43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</row>
    <row r="287" spans="1:22" ht="12.75" customHeight="1" x14ac:dyDescent="0.2">
      <c r="A287" s="19" t="s">
        <v>9</v>
      </c>
      <c r="B287" s="20"/>
      <c r="C287" s="17"/>
      <c r="D287" s="30"/>
      <c r="E287" s="17"/>
      <c r="F287" s="17"/>
      <c r="G287" s="17"/>
      <c r="H287" s="17"/>
      <c r="I287" s="17"/>
      <c r="J287" s="17"/>
      <c r="K287" s="17"/>
      <c r="L287" s="18"/>
      <c r="M287" s="17"/>
      <c r="N287" s="17"/>
      <c r="O287" s="17"/>
      <c r="P287" s="17"/>
      <c r="Q287" s="17"/>
      <c r="R287" s="17"/>
      <c r="S287" s="17"/>
      <c r="T287" s="17"/>
      <c r="U287" s="17"/>
      <c r="V287" s="17"/>
    </row>
    <row r="288" spans="1:22" ht="12.75" customHeight="1" x14ac:dyDescent="0.2">
      <c r="A288" s="12">
        <v>1</v>
      </c>
      <c r="B288" s="22" t="s">
        <v>14</v>
      </c>
      <c r="C288" s="15">
        <v>2688.32</v>
      </c>
      <c r="D288" s="15">
        <f t="shared" ref="D288:D291" si="32">F288+G288+H288+I288+J288+K288+M288+O288+Q288+S288+U288+V288</f>
        <v>11102000</v>
      </c>
      <c r="E288" s="15">
        <f>D288</f>
        <v>11102000</v>
      </c>
      <c r="F288" s="15"/>
      <c r="G288" s="15"/>
      <c r="H288" s="15"/>
      <c r="I288" s="15"/>
      <c r="J288" s="15"/>
      <c r="K288" s="15"/>
      <c r="L288" s="16"/>
      <c r="M288" s="15"/>
      <c r="N288" s="15">
        <v>920</v>
      </c>
      <c r="O288" s="15">
        <f>3905452-70000-70000</f>
        <v>3765452</v>
      </c>
      <c r="P288" s="15"/>
      <c r="Q288" s="15"/>
      <c r="R288" s="15">
        <v>210</v>
      </c>
      <c r="S288" s="15">
        <f>3621548-20000</f>
        <v>3601548</v>
      </c>
      <c r="T288" s="15"/>
      <c r="U288" s="15"/>
      <c r="V288" s="15">
        <v>3735000</v>
      </c>
    </row>
    <row r="289" spans="1:22" ht="12.75" customHeight="1" x14ac:dyDescent="0.2">
      <c r="A289" s="12">
        <v>2</v>
      </c>
      <c r="B289" s="22" t="s">
        <v>199</v>
      </c>
      <c r="C289" s="15">
        <v>3782.52</v>
      </c>
      <c r="D289" s="15">
        <f t="shared" si="32"/>
        <v>2106930</v>
      </c>
      <c r="E289" s="15">
        <f t="shared" ref="E289:E291" si="33">D289</f>
        <v>2106930</v>
      </c>
      <c r="F289" s="15"/>
      <c r="G289" s="15"/>
      <c r="H289" s="15"/>
      <c r="I289" s="15"/>
      <c r="J289" s="15"/>
      <c r="K289" s="15"/>
      <c r="L289" s="16"/>
      <c r="M289" s="15"/>
      <c r="N289" s="15">
        <v>810</v>
      </c>
      <c r="O289" s="15">
        <f>2006930-50000</f>
        <v>1956930</v>
      </c>
      <c r="P289" s="15"/>
      <c r="Q289" s="15"/>
      <c r="R289" s="15"/>
      <c r="S289" s="15"/>
      <c r="T289" s="15"/>
      <c r="U289" s="15"/>
      <c r="V289" s="15">
        <v>150000</v>
      </c>
    </row>
    <row r="290" spans="1:22" ht="12.75" customHeight="1" x14ac:dyDescent="0.2">
      <c r="A290" s="12">
        <v>3</v>
      </c>
      <c r="B290" s="21" t="s">
        <v>200</v>
      </c>
      <c r="C290" s="11">
        <v>11482.04</v>
      </c>
      <c r="D290" s="15">
        <f t="shared" si="32"/>
        <v>16161112</v>
      </c>
      <c r="E290" s="15">
        <f t="shared" si="33"/>
        <v>16161112</v>
      </c>
      <c r="F290" s="15"/>
      <c r="G290" s="15"/>
      <c r="H290" s="15"/>
      <c r="I290" s="15"/>
      <c r="J290" s="15"/>
      <c r="K290" s="15"/>
      <c r="L290" s="16"/>
      <c r="M290" s="15"/>
      <c r="N290" s="15">
        <v>3841.5</v>
      </c>
      <c r="O290" s="15">
        <f>16061112-100000-273000</f>
        <v>15688112</v>
      </c>
      <c r="P290" s="15"/>
      <c r="Q290" s="15"/>
      <c r="R290" s="15"/>
      <c r="S290" s="15"/>
      <c r="T290" s="15"/>
      <c r="U290" s="15"/>
      <c r="V290" s="15">
        <v>473000</v>
      </c>
    </row>
    <row r="291" spans="1:22" ht="12.75" customHeight="1" x14ac:dyDescent="0.2">
      <c r="A291" s="12">
        <v>4</v>
      </c>
      <c r="B291" s="22" t="s">
        <v>443</v>
      </c>
      <c r="C291" s="15">
        <v>5989.8</v>
      </c>
      <c r="D291" s="15">
        <f t="shared" si="32"/>
        <v>9150000</v>
      </c>
      <c r="E291" s="15">
        <f t="shared" si="33"/>
        <v>9150000</v>
      </c>
      <c r="F291" s="15"/>
      <c r="G291" s="15"/>
      <c r="H291" s="15"/>
      <c r="I291" s="15"/>
      <c r="J291" s="15"/>
      <c r="K291" s="15"/>
      <c r="L291" s="16"/>
      <c r="M291" s="15"/>
      <c r="N291" s="15">
        <v>713</v>
      </c>
      <c r="O291" s="15">
        <f>8725000-133000</f>
        <v>8592000</v>
      </c>
      <c r="P291" s="15"/>
      <c r="Q291" s="15"/>
      <c r="R291" s="15"/>
      <c r="S291" s="15"/>
      <c r="T291" s="15"/>
      <c r="U291" s="15"/>
      <c r="V291" s="15">
        <v>558000</v>
      </c>
    </row>
    <row r="292" spans="1:22" ht="12.75" customHeight="1" x14ac:dyDescent="0.2">
      <c r="A292" s="19" t="s">
        <v>10</v>
      </c>
      <c r="B292" s="20"/>
      <c r="C292" s="17"/>
      <c r="D292" s="15"/>
      <c r="E292" s="15"/>
      <c r="F292" s="17"/>
      <c r="G292" s="17"/>
      <c r="H292" s="17"/>
      <c r="I292" s="17"/>
      <c r="J292" s="17"/>
      <c r="K292" s="17"/>
      <c r="L292" s="18"/>
      <c r="M292" s="17"/>
      <c r="N292" s="17"/>
      <c r="O292" s="17"/>
      <c r="P292" s="17"/>
      <c r="Q292" s="17"/>
      <c r="R292" s="17"/>
      <c r="S292" s="17"/>
      <c r="T292" s="17"/>
      <c r="U292" s="17"/>
      <c r="V292" s="15"/>
    </row>
    <row r="293" spans="1:22" ht="12.75" customHeight="1" x14ac:dyDescent="0.2">
      <c r="A293" s="12">
        <v>5</v>
      </c>
      <c r="B293" s="21" t="s">
        <v>201</v>
      </c>
      <c r="C293" s="11">
        <v>3535.2</v>
      </c>
      <c r="D293" s="15">
        <f t="shared" ref="D293:D294" si="34">F293+G293+H293+I293+J293+K293+M293+O293+Q293+S293+U293+V293</f>
        <v>44549554</v>
      </c>
      <c r="E293" s="15">
        <f>D293</f>
        <v>44549554</v>
      </c>
      <c r="F293" s="11"/>
      <c r="G293" s="11">
        <v>3000000</v>
      </c>
      <c r="H293" s="11"/>
      <c r="I293" s="11"/>
      <c r="J293" s="11">
        <v>3000000</v>
      </c>
      <c r="K293" s="11">
        <v>1000000</v>
      </c>
      <c r="L293" s="13"/>
      <c r="M293" s="11"/>
      <c r="N293" s="11">
        <v>806.2</v>
      </c>
      <c r="O293" s="11">
        <v>16800000</v>
      </c>
      <c r="P293" s="11"/>
      <c r="Q293" s="11"/>
      <c r="R293" s="11">
        <v>2625</v>
      </c>
      <c r="S293" s="11">
        <v>16793200</v>
      </c>
      <c r="T293" s="11"/>
      <c r="U293" s="11"/>
      <c r="V293" s="15">
        <v>3956354.0000000005</v>
      </c>
    </row>
    <row r="294" spans="1:22" ht="12.75" customHeight="1" x14ac:dyDescent="0.2">
      <c r="A294" s="12">
        <v>6</v>
      </c>
      <c r="B294" s="21" t="s">
        <v>202</v>
      </c>
      <c r="C294" s="11">
        <v>2454</v>
      </c>
      <c r="D294" s="15">
        <f t="shared" si="34"/>
        <v>42528425</v>
      </c>
      <c r="E294" s="15">
        <f>D294</f>
        <v>42528425</v>
      </c>
      <c r="F294" s="11">
        <v>4000000</v>
      </c>
      <c r="G294" s="11">
        <v>6000000</v>
      </c>
      <c r="H294" s="11"/>
      <c r="I294" s="11"/>
      <c r="J294" s="11">
        <v>4000000</v>
      </c>
      <c r="K294" s="11">
        <v>2247420</v>
      </c>
      <c r="L294" s="13"/>
      <c r="M294" s="11"/>
      <c r="N294" s="11">
        <v>856</v>
      </c>
      <c r="O294" s="11">
        <v>11000000</v>
      </c>
      <c r="P294" s="11"/>
      <c r="Q294" s="11"/>
      <c r="R294" s="11">
        <v>1995</v>
      </c>
      <c r="S294" s="11">
        <v>11500000</v>
      </c>
      <c r="T294" s="11"/>
      <c r="U294" s="11"/>
      <c r="V294" s="15">
        <v>3781005</v>
      </c>
    </row>
    <row r="295" spans="1:22" ht="12.75" customHeight="1" x14ac:dyDescent="0.2">
      <c r="A295" s="19" t="s">
        <v>11</v>
      </c>
      <c r="B295" s="20"/>
      <c r="C295" s="17"/>
      <c r="D295" s="15"/>
      <c r="E295" s="15"/>
      <c r="F295" s="17"/>
      <c r="G295" s="17"/>
      <c r="H295" s="17"/>
      <c r="I295" s="17"/>
      <c r="J295" s="17"/>
      <c r="K295" s="17"/>
      <c r="L295" s="18"/>
      <c r="M295" s="17"/>
      <c r="N295" s="17"/>
      <c r="O295" s="17"/>
      <c r="P295" s="17"/>
      <c r="Q295" s="17"/>
      <c r="R295" s="17"/>
      <c r="S295" s="17"/>
      <c r="T295" s="17"/>
      <c r="U295" s="17"/>
      <c r="V295" s="15"/>
    </row>
    <row r="296" spans="1:22" ht="12.75" customHeight="1" x14ac:dyDescent="0.2">
      <c r="A296" s="12">
        <v>7</v>
      </c>
      <c r="B296" s="21" t="s">
        <v>203</v>
      </c>
      <c r="C296" s="11">
        <v>1233.32</v>
      </c>
      <c r="D296" s="15">
        <f t="shared" ref="D296:D297" si="35">F296+G296+H296+I296+J296+K296+M296+O296+Q296+S296+U296+V296</f>
        <v>3791441</v>
      </c>
      <c r="E296" s="15">
        <f>D296</f>
        <v>3791441</v>
      </c>
      <c r="F296" s="11"/>
      <c r="G296" s="11"/>
      <c r="H296" s="11"/>
      <c r="I296" s="11"/>
      <c r="J296" s="11"/>
      <c r="K296" s="11"/>
      <c r="L296" s="13"/>
      <c r="M296" s="11"/>
      <c r="N296" s="15">
        <v>767</v>
      </c>
      <c r="O296" s="15">
        <v>3288987</v>
      </c>
      <c r="P296" s="11"/>
      <c r="Q296" s="11"/>
      <c r="R296" s="11"/>
      <c r="S296" s="11"/>
      <c r="T296" s="11"/>
      <c r="U296" s="11"/>
      <c r="V296" s="15">
        <v>502454</v>
      </c>
    </row>
    <row r="297" spans="1:22" ht="12.75" customHeight="1" x14ac:dyDescent="0.2">
      <c r="A297" s="12">
        <v>8</v>
      </c>
      <c r="B297" s="21" t="s">
        <v>204</v>
      </c>
      <c r="C297" s="11">
        <v>1420.62</v>
      </c>
      <c r="D297" s="15">
        <f t="shared" si="35"/>
        <v>3331572</v>
      </c>
      <c r="E297" s="15">
        <f>D297</f>
        <v>3331572</v>
      </c>
      <c r="F297" s="11"/>
      <c r="G297" s="11"/>
      <c r="H297" s="11"/>
      <c r="I297" s="11"/>
      <c r="J297" s="11"/>
      <c r="K297" s="11"/>
      <c r="L297" s="13"/>
      <c r="M297" s="11"/>
      <c r="N297" s="15">
        <v>747</v>
      </c>
      <c r="O297" s="15">
        <v>2869016</v>
      </c>
      <c r="P297" s="11"/>
      <c r="Q297" s="11"/>
      <c r="R297" s="11"/>
      <c r="S297" s="11"/>
      <c r="T297" s="11"/>
      <c r="U297" s="11"/>
      <c r="V297" s="15">
        <v>462556</v>
      </c>
    </row>
    <row r="298" spans="1:22" ht="12.75" customHeight="1" x14ac:dyDescent="0.2">
      <c r="A298" s="19" t="s">
        <v>12</v>
      </c>
      <c r="B298" s="20"/>
      <c r="C298" s="17"/>
      <c r="D298" s="15"/>
      <c r="E298" s="15"/>
      <c r="F298" s="17"/>
      <c r="G298" s="17"/>
      <c r="H298" s="17"/>
      <c r="I298" s="17"/>
      <c r="J298" s="17"/>
      <c r="K298" s="17"/>
      <c r="L298" s="18"/>
      <c r="M298" s="17"/>
      <c r="N298" s="17"/>
      <c r="O298" s="17"/>
      <c r="P298" s="17"/>
      <c r="Q298" s="17"/>
      <c r="R298" s="17"/>
      <c r="S298" s="17"/>
      <c r="T298" s="17"/>
      <c r="U298" s="17"/>
      <c r="V298" s="15"/>
    </row>
    <row r="299" spans="1:22" ht="12.75" customHeight="1" x14ac:dyDescent="0.2">
      <c r="A299" s="12">
        <v>9</v>
      </c>
      <c r="B299" s="21" t="s">
        <v>395</v>
      </c>
      <c r="C299" s="11">
        <v>2748.2</v>
      </c>
      <c r="D299" s="15">
        <f t="shared" ref="D299:D306" si="36">F299+G299+H299+I299+J299+K299+M299+O299+Q299+S299+U299+V299</f>
        <v>42589055</v>
      </c>
      <c r="E299" s="15">
        <f t="shared" ref="E299:E306" si="37">D299</f>
        <v>42589055</v>
      </c>
      <c r="F299" s="15">
        <v>6000000</v>
      </c>
      <c r="G299" s="15">
        <v>8800000</v>
      </c>
      <c r="H299" s="15"/>
      <c r="I299" s="15"/>
      <c r="J299" s="15">
        <v>5000000</v>
      </c>
      <c r="K299" s="15">
        <v>3500000</v>
      </c>
      <c r="L299" s="16"/>
      <c r="M299" s="15"/>
      <c r="N299" s="15">
        <v>710</v>
      </c>
      <c r="O299" s="15">
        <v>12297000</v>
      </c>
      <c r="P299" s="15"/>
      <c r="Q299" s="15"/>
      <c r="R299" s="15">
        <v>2978</v>
      </c>
      <c r="S299" s="15">
        <v>3000000</v>
      </c>
      <c r="T299" s="15"/>
      <c r="U299" s="15"/>
      <c r="V299" s="15">
        <v>3992055.0000000005</v>
      </c>
    </row>
    <row r="300" spans="1:22" ht="12.75" customHeight="1" x14ac:dyDescent="0.2">
      <c r="A300" s="12">
        <v>10</v>
      </c>
      <c r="B300" s="21" t="s">
        <v>205</v>
      </c>
      <c r="C300" s="11">
        <v>5312.61</v>
      </c>
      <c r="D300" s="15">
        <f t="shared" si="36"/>
        <v>20000000</v>
      </c>
      <c r="E300" s="15">
        <f t="shared" si="37"/>
        <v>20000000</v>
      </c>
      <c r="F300" s="15"/>
      <c r="G300" s="15"/>
      <c r="H300" s="15"/>
      <c r="I300" s="15"/>
      <c r="J300" s="15"/>
      <c r="K300" s="15"/>
      <c r="L300" s="16">
        <v>4</v>
      </c>
      <c r="M300" s="15">
        <v>19000000</v>
      </c>
      <c r="N300" s="15"/>
      <c r="O300" s="15"/>
      <c r="P300" s="15"/>
      <c r="Q300" s="15"/>
      <c r="R300" s="15"/>
      <c r="S300" s="15"/>
      <c r="T300" s="15"/>
      <c r="U300" s="15"/>
      <c r="V300" s="15">
        <v>1000000</v>
      </c>
    </row>
    <row r="301" spans="1:22" ht="12.75" customHeight="1" x14ac:dyDescent="0.2">
      <c r="A301" s="12">
        <v>11</v>
      </c>
      <c r="B301" s="21" t="s">
        <v>376</v>
      </c>
      <c r="C301" s="11">
        <v>20491.2</v>
      </c>
      <c r="D301" s="15">
        <f t="shared" si="36"/>
        <v>59567337</v>
      </c>
      <c r="E301" s="15">
        <f t="shared" si="37"/>
        <v>59567337</v>
      </c>
      <c r="F301" s="15">
        <v>14000000</v>
      </c>
      <c r="G301" s="15">
        <v>24000000</v>
      </c>
      <c r="H301" s="15"/>
      <c r="I301" s="15"/>
      <c r="J301" s="15">
        <v>9500000</v>
      </c>
      <c r="K301" s="15">
        <v>7092337</v>
      </c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>
        <v>4975000</v>
      </c>
    </row>
    <row r="302" spans="1:22" ht="13.5" customHeight="1" x14ac:dyDescent="0.2">
      <c r="A302" s="12">
        <v>12</v>
      </c>
      <c r="B302" s="21" t="s">
        <v>206</v>
      </c>
      <c r="C302" s="11">
        <v>5089</v>
      </c>
      <c r="D302" s="15">
        <f t="shared" si="36"/>
        <v>10000000</v>
      </c>
      <c r="E302" s="15">
        <f t="shared" si="37"/>
        <v>10000000</v>
      </c>
      <c r="F302" s="15"/>
      <c r="G302" s="15"/>
      <c r="H302" s="15"/>
      <c r="I302" s="15"/>
      <c r="J302" s="15"/>
      <c r="K302" s="15"/>
      <c r="L302" s="16">
        <v>2</v>
      </c>
      <c r="M302" s="15">
        <v>9500000</v>
      </c>
      <c r="N302" s="15"/>
      <c r="O302" s="15"/>
      <c r="P302" s="15"/>
      <c r="Q302" s="15"/>
      <c r="R302" s="15"/>
      <c r="S302" s="15"/>
      <c r="T302" s="15"/>
      <c r="U302" s="15"/>
      <c r="V302" s="15">
        <v>500000</v>
      </c>
    </row>
    <row r="303" spans="1:22" ht="12.75" customHeight="1" x14ac:dyDescent="0.2">
      <c r="A303" s="12">
        <v>13</v>
      </c>
      <c r="B303" s="21" t="s">
        <v>207</v>
      </c>
      <c r="C303" s="11">
        <v>5071</v>
      </c>
      <c r="D303" s="15">
        <f t="shared" si="36"/>
        <v>10000000</v>
      </c>
      <c r="E303" s="15">
        <f t="shared" si="37"/>
        <v>10000000</v>
      </c>
      <c r="F303" s="15"/>
      <c r="G303" s="15"/>
      <c r="H303" s="15"/>
      <c r="I303" s="15"/>
      <c r="J303" s="15"/>
      <c r="K303" s="15"/>
      <c r="L303" s="16">
        <v>2</v>
      </c>
      <c r="M303" s="15">
        <v>9500000</v>
      </c>
      <c r="N303" s="15"/>
      <c r="O303" s="15"/>
      <c r="P303" s="15"/>
      <c r="Q303" s="15"/>
      <c r="R303" s="15"/>
      <c r="S303" s="15"/>
      <c r="T303" s="15"/>
      <c r="U303" s="15"/>
      <c r="V303" s="15">
        <v>500000</v>
      </c>
    </row>
    <row r="304" spans="1:22" ht="12.75" customHeight="1" x14ac:dyDescent="0.2">
      <c r="A304" s="12">
        <v>14</v>
      </c>
      <c r="B304" s="21" t="s">
        <v>208</v>
      </c>
      <c r="C304" s="11">
        <v>10922.82</v>
      </c>
      <c r="D304" s="15">
        <f t="shared" si="36"/>
        <v>57968180</v>
      </c>
      <c r="E304" s="15">
        <f t="shared" si="37"/>
        <v>57968180</v>
      </c>
      <c r="F304" s="15"/>
      <c r="G304" s="15">
        <v>7400000</v>
      </c>
      <c r="H304" s="15"/>
      <c r="I304" s="15"/>
      <c r="J304" s="15">
        <v>4000000</v>
      </c>
      <c r="K304" s="15">
        <v>3000000</v>
      </c>
      <c r="L304" s="16"/>
      <c r="M304" s="15"/>
      <c r="N304" s="15">
        <v>1310</v>
      </c>
      <c r="O304" s="15">
        <v>15814000</v>
      </c>
      <c r="P304" s="15"/>
      <c r="Q304" s="15"/>
      <c r="R304" s="15">
        <v>3150</v>
      </c>
      <c r="S304" s="15">
        <v>22444000</v>
      </c>
      <c r="T304" s="15"/>
      <c r="U304" s="15"/>
      <c r="V304" s="15">
        <v>5310180</v>
      </c>
    </row>
    <row r="305" spans="1:22" ht="12.75" customHeight="1" x14ac:dyDescent="0.2">
      <c r="A305" s="12">
        <v>15</v>
      </c>
      <c r="B305" s="21" t="s">
        <v>209</v>
      </c>
      <c r="C305" s="11">
        <v>9707.9699999999993</v>
      </c>
      <c r="D305" s="15">
        <f t="shared" si="36"/>
        <v>31684604</v>
      </c>
      <c r="E305" s="15">
        <f t="shared" si="37"/>
        <v>31684604</v>
      </c>
      <c r="F305" s="15"/>
      <c r="G305" s="15">
        <v>7500000</v>
      </c>
      <c r="H305" s="15"/>
      <c r="I305" s="15"/>
      <c r="J305" s="15">
        <v>3800000</v>
      </c>
      <c r="K305" s="15">
        <v>2000000</v>
      </c>
      <c r="L305" s="16"/>
      <c r="M305" s="15"/>
      <c r="N305" s="15">
        <v>1352</v>
      </c>
      <c r="O305" s="15">
        <v>15528250</v>
      </c>
      <c r="P305" s="15"/>
      <c r="Q305" s="15"/>
      <c r="R305" s="15"/>
      <c r="S305" s="15"/>
      <c r="T305" s="15"/>
      <c r="U305" s="15"/>
      <c r="V305" s="15">
        <v>2856354</v>
      </c>
    </row>
    <row r="306" spans="1:22" ht="12.75" customHeight="1" x14ac:dyDescent="0.2">
      <c r="A306" s="12">
        <v>16</v>
      </c>
      <c r="B306" s="21" t="s">
        <v>377</v>
      </c>
      <c r="C306" s="11">
        <v>9306.66</v>
      </c>
      <c r="D306" s="15">
        <f t="shared" si="36"/>
        <v>26832621</v>
      </c>
      <c r="E306" s="15">
        <f t="shared" si="37"/>
        <v>26832621</v>
      </c>
      <c r="F306" s="15">
        <v>6000000</v>
      </c>
      <c r="G306" s="15">
        <v>11000000</v>
      </c>
      <c r="H306" s="15"/>
      <c r="I306" s="15"/>
      <c r="J306" s="15">
        <v>5000000</v>
      </c>
      <c r="K306" s="15">
        <v>2657621</v>
      </c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>
        <v>2175000</v>
      </c>
    </row>
    <row r="307" spans="1:22" ht="12.75" customHeight="1" x14ac:dyDescent="0.2">
      <c r="A307" s="19" t="s">
        <v>210</v>
      </c>
      <c r="B307" s="20"/>
      <c r="C307" s="17"/>
      <c r="D307" s="15"/>
      <c r="E307" s="15"/>
      <c r="F307" s="17"/>
      <c r="G307" s="17"/>
      <c r="H307" s="17"/>
      <c r="I307" s="17"/>
      <c r="J307" s="17"/>
      <c r="K307" s="17"/>
      <c r="L307" s="18"/>
      <c r="M307" s="17"/>
      <c r="N307" s="17"/>
      <c r="O307" s="17"/>
      <c r="P307" s="17"/>
      <c r="Q307" s="17"/>
      <c r="R307" s="17"/>
      <c r="S307" s="17"/>
      <c r="T307" s="17"/>
      <c r="U307" s="17"/>
      <c r="V307" s="15"/>
    </row>
    <row r="308" spans="1:22" ht="12.75" customHeight="1" x14ac:dyDescent="0.2">
      <c r="A308" s="19" t="s">
        <v>211</v>
      </c>
      <c r="B308" s="20"/>
      <c r="C308" s="17"/>
      <c r="D308" s="15"/>
      <c r="E308" s="15"/>
      <c r="F308" s="17"/>
      <c r="G308" s="17"/>
      <c r="H308" s="17"/>
      <c r="I308" s="17"/>
      <c r="J308" s="17"/>
      <c r="K308" s="17"/>
      <c r="L308" s="18"/>
      <c r="M308" s="17"/>
      <c r="N308" s="15"/>
      <c r="O308" s="15"/>
      <c r="P308" s="15"/>
      <c r="Q308" s="15"/>
      <c r="R308" s="15"/>
      <c r="S308" s="15"/>
      <c r="T308" s="15"/>
      <c r="U308" s="15"/>
      <c r="V308" s="15"/>
    </row>
    <row r="309" spans="1:22" ht="12.75" customHeight="1" x14ac:dyDescent="0.2">
      <c r="A309" s="12">
        <v>17</v>
      </c>
      <c r="B309" s="21" t="s">
        <v>212</v>
      </c>
      <c r="C309" s="11">
        <v>4452.42</v>
      </c>
      <c r="D309" s="15">
        <f t="shared" ref="D309:D312" si="38">F309+G309+H309+I309+J309+K309+M309+O309+Q309+S309+U309+V309</f>
        <v>56364949</v>
      </c>
      <c r="E309" s="15">
        <f>D309</f>
        <v>56364949</v>
      </c>
      <c r="F309" s="11">
        <v>5000000</v>
      </c>
      <c r="G309" s="11">
        <v>10000000</v>
      </c>
      <c r="H309" s="11"/>
      <c r="I309" s="11"/>
      <c r="J309" s="11">
        <v>8000000</v>
      </c>
      <c r="K309" s="11">
        <v>5000000</v>
      </c>
      <c r="L309" s="13"/>
      <c r="M309" s="15"/>
      <c r="N309" s="15">
        <v>2704</v>
      </c>
      <c r="O309" s="15">
        <f>21000000-127000</f>
        <v>20873000</v>
      </c>
      <c r="P309" s="11">
        <v>1567.9</v>
      </c>
      <c r="Q309" s="15">
        <v>3677522</v>
      </c>
      <c r="R309" s="15"/>
      <c r="S309" s="15"/>
      <c r="T309" s="15"/>
      <c r="U309" s="15"/>
      <c r="V309" s="15">
        <v>3814427</v>
      </c>
    </row>
    <row r="310" spans="1:22" ht="12.75" customHeight="1" x14ac:dyDescent="0.2">
      <c r="A310" s="12">
        <v>18</v>
      </c>
      <c r="B310" s="21" t="s">
        <v>396</v>
      </c>
      <c r="C310" s="11">
        <v>4815</v>
      </c>
      <c r="D310" s="15">
        <f t="shared" si="38"/>
        <v>22328295</v>
      </c>
      <c r="E310" s="15">
        <f>D310</f>
        <v>22328295</v>
      </c>
      <c r="F310" s="11"/>
      <c r="G310" s="11"/>
      <c r="H310" s="11"/>
      <c r="I310" s="11"/>
      <c r="J310" s="11"/>
      <c r="K310" s="11"/>
      <c r="L310" s="13"/>
      <c r="M310" s="15"/>
      <c r="N310" s="15">
        <v>1514</v>
      </c>
      <c r="O310" s="15">
        <v>20867565</v>
      </c>
      <c r="P310" s="11"/>
      <c r="Q310" s="15"/>
      <c r="R310" s="15"/>
      <c r="S310" s="15"/>
      <c r="T310" s="15"/>
      <c r="U310" s="15"/>
      <c r="V310" s="15">
        <v>1460730</v>
      </c>
    </row>
    <row r="311" spans="1:22" ht="12.75" customHeight="1" x14ac:dyDescent="0.2">
      <c r="A311" s="12">
        <v>19</v>
      </c>
      <c r="B311" s="21" t="s">
        <v>213</v>
      </c>
      <c r="C311" s="11">
        <v>3839.51</v>
      </c>
      <c r="D311" s="15">
        <f t="shared" si="38"/>
        <v>10556968</v>
      </c>
      <c r="E311" s="15">
        <f>D311</f>
        <v>10556968</v>
      </c>
      <c r="F311" s="11"/>
      <c r="G311" s="11"/>
      <c r="H311" s="11"/>
      <c r="I311" s="11"/>
      <c r="J311" s="11"/>
      <c r="K311" s="11"/>
      <c r="L311" s="13"/>
      <c r="M311" s="15"/>
      <c r="N311" s="15">
        <v>1379</v>
      </c>
      <c r="O311" s="15">
        <v>9866325</v>
      </c>
      <c r="P311" s="11"/>
      <c r="Q311" s="15"/>
      <c r="R311" s="15"/>
      <c r="S311" s="15"/>
      <c r="T311" s="15"/>
      <c r="U311" s="15"/>
      <c r="V311" s="15">
        <v>690643</v>
      </c>
    </row>
    <row r="312" spans="1:22" ht="12.75" customHeight="1" x14ac:dyDescent="0.2">
      <c r="A312" s="12">
        <v>20</v>
      </c>
      <c r="B312" s="21" t="s">
        <v>397</v>
      </c>
      <c r="C312" s="11">
        <v>4095.4</v>
      </c>
      <c r="D312" s="15">
        <f t="shared" si="38"/>
        <v>17248400</v>
      </c>
      <c r="E312" s="15">
        <f>D312</f>
        <v>17248400</v>
      </c>
      <c r="F312" s="11"/>
      <c r="G312" s="11"/>
      <c r="H312" s="11"/>
      <c r="I312" s="11"/>
      <c r="J312" s="11"/>
      <c r="K312" s="11"/>
      <c r="L312" s="13"/>
      <c r="M312" s="15"/>
      <c r="N312" s="15">
        <v>1036</v>
      </c>
      <c r="O312" s="15">
        <v>16120000</v>
      </c>
      <c r="P312" s="11"/>
      <c r="Q312" s="15"/>
      <c r="R312" s="15"/>
      <c r="S312" s="15"/>
      <c r="T312" s="15"/>
      <c r="U312" s="15"/>
      <c r="V312" s="15">
        <v>1128400</v>
      </c>
    </row>
    <row r="313" spans="1:22" ht="12.75" customHeight="1" x14ac:dyDescent="0.2">
      <c r="A313" s="19" t="s">
        <v>19</v>
      </c>
      <c r="B313" s="20"/>
      <c r="C313" s="17"/>
      <c r="D313" s="15"/>
      <c r="E313" s="15"/>
      <c r="F313" s="17"/>
      <c r="G313" s="17"/>
      <c r="H313" s="17"/>
      <c r="I313" s="17"/>
      <c r="J313" s="17"/>
      <c r="K313" s="17"/>
      <c r="L313" s="18"/>
      <c r="M313" s="17"/>
      <c r="N313" s="17"/>
      <c r="O313" s="17"/>
      <c r="P313" s="17"/>
      <c r="Q313" s="17"/>
      <c r="R313" s="17"/>
      <c r="S313" s="17"/>
      <c r="T313" s="17"/>
      <c r="U313" s="17"/>
      <c r="V313" s="15"/>
    </row>
    <row r="314" spans="1:22" ht="12.75" customHeight="1" x14ac:dyDescent="0.2">
      <c r="A314" s="12">
        <v>21</v>
      </c>
      <c r="B314" s="21" t="s">
        <v>214</v>
      </c>
      <c r="C314" s="11">
        <v>688.1</v>
      </c>
      <c r="D314" s="15">
        <f t="shared" ref="D314:D322" si="39">F314+G314+H314+I314+J314+K314+M314+O314+Q314+S314+U314+V314</f>
        <v>9195000</v>
      </c>
      <c r="E314" s="15">
        <f t="shared" ref="E314:E322" si="40">D314</f>
        <v>9195000</v>
      </c>
      <c r="F314" s="15"/>
      <c r="G314" s="15">
        <f>2500000-83000</f>
        <v>2417000</v>
      </c>
      <c r="H314" s="15"/>
      <c r="I314" s="15"/>
      <c r="J314" s="15">
        <v>2000000</v>
      </c>
      <c r="K314" s="15">
        <v>1000000</v>
      </c>
      <c r="L314" s="16"/>
      <c r="M314" s="15"/>
      <c r="N314" s="11">
        <v>677</v>
      </c>
      <c r="O314" s="11">
        <v>3000000</v>
      </c>
      <c r="P314" s="11"/>
      <c r="Q314" s="15"/>
      <c r="R314" s="15"/>
      <c r="S314" s="15"/>
      <c r="T314" s="15"/>
      <c r="U314" s="15"/>
      <c r="V314" s="15">
        <v>778000</v>
      </c>
    </row>
    <row r="315" spans="1:22" ht="12.75" customHeight="1" x14ac:dyDescent="0.2">
      <c r="A315" s="12">
        <v>22</v>
      </c>
      <c r="B315" s="21" t="s">
        <v>215</v>
      </c>
      <c r="C315" s="11">
        <v>671.9</v>
      </c>
      <c r="D315" s="15">
        <f t="shared" si="39"/>
        <v>9195000</v>
      </c>
      <c r="E315" s="15">
        <f t="shared" si="40"/>
        <v>9195000</v>
      </c>
      <c r="F315" s="15"/>
      <c r="G315" s="15">
        <f>2500000-83000</f>
        <v>2417000</v>
      </c>
      <c r="H315" s="15"/>
      <c r="I315" s="15"/>
      <c r="J315" s="15">
        <v>2000000</v>
      </c>
      <c r="K315" s="15">
        <v>1000000</v>
      </c>
      <c r="L315" s="16"/>
      <c r="M315" s="15"/>
      <c r="N315" s="11">
        <v>662</v>
      </c>
      <c r="O315" s="11">
        <v>3000000</v>
      </c>
      <c r="P315" s="11"/>
      <c r="Q315" s="15"/>
      <c r="R315" s="15"/>
      <c r="S315" s="15"/>
      <c r="T315" s="15"/>
      <c r="U315" s="15"/>
      <c r="V315" s="15">
        <v>778000</v>
      </c>
    </row>
    <row r="316" spans="1:22" ht="12.75" customHeight="1" x14ac:dyDescent="0.2">
      <c r="A316" s="12">
        <v>23</v>
      </c>
      <c r="B316" s="21" t="s">
        <v>216</v>
      </c>
      <c r="C316" s="11">
        <v>3134.8</v>
      </c>
      <c r="D316" s="15">
        <f t="shared" si="39"/>
        <v>8660000</v>
      </c>
      <c r="E316" s="15">
        <f t="shared" si="40"/>
        <v>8660000</v>
      </c>
      <c r="F316" s="15"/>
      <c r="G316" s="15">
        <v>1000000</v>
      </c>
      <c r="H316" s="15"/>
      <c r="I316" s="15"/>
      <c r="J316" s="15">
        <v>1000000</v>
      </c>
      <c r="K316" s="15">
        <v>1000000</v>
      </c>
      <c r="L316" s="16"/>
      <c r="M316" s="15"/>
      <c r="N316" s="15">
        <v>1030.7</v>
      </c>
      <c r="O316" s="15">
        <f>5000000-73000</f>
        <v>4927000</v>
      </c>
      <c r="P316" s="11"/>
      <c r="Q316" s="15"/>
      <c r="R316" s="15"/>
      <c r="S316" s="15"/>
      <c r="T316" s="15"/>
      <c r="U316" s="15"/>
      <c r="V316" s="15">
        <v>733000</v>
      </c>
    </row>
    <row r="317" spans="1:22" ht="12.75" customHeight="1" x14ac:dyDescent="0.2">
      <c r="A317" s="12">
        <v>24</v>
      </c>
      <c r="B317" s="21" t="s">
        <v>217</v>
      </c>
      <c r="C317" s="11">
        <v>1514.3</v>
      </c>
      <c r="D317" s="15">
        <f t="shared" si="39"/>
        <v>6951000</v>
      </c>
      <c r="E317" s="15">
        <f t="shared" si="40"/>
        <v>6951000</v>
      </c>
      <c r="F317" s="15"/>
      <c r="G317" s="15">
        <v>1000000</v>
      </c>
      <c r="H317" s="15"/>
      <c r="I317" s="15"/>
      <c r="J317" s="15">
        <v>1000000</v>
      </c>
      <c r="K317" s="15">
        <v>1000000</v>
      </c>
      <c r="L317" s="16"/>
      <c r="M317" s="15"/>
      <c r="N317" s="15">
        <v>503.7</v>
      </c>
      <c r="O317" s="15">
        <v>3240000</v>
      </c>
      <c r="P317" s="11"/>
      <c r="Q317" s="15"/>
      <c r="R317" s="15"/>
      <c r="S317" s="15"/>
      <c r="T317" s="15"/>
      <c r="U317" s="15"/>
      <c r="V317" s="15">
        <v>711000</v>
      </c>
    </row>
    <row r="318" spans="1:22" ht="12.75" customHeight="1" x14ac:dyDescent="0.2">
      <c r="A318" s="12">
        <v>25</v>
      </c>
      <c r="B318" s="21" t="s">
        <v>218</v>
      </c>
      <c r="C318" s="11">
        <v>2576.63</v>
      </c>
      <c r="D318" s="15">
        <f t="shared" si="39"/>
        <v>8660000</v>
      </c>
      <c r="E318" s="15">
        <f t="shared" si="40"/>
        <v>8660000</v>
      </c>
      <c r="F318" s="15"/>
      <c r="G318" s="15">
        <v>1000000</v>
      </c>
      <c r="H318" s="15"/>
      <c r="I318" s="15"/>
      <c r="J318" s="15">
        <v>1000000</v>
      </c>
      <c r="K318" s="15">
        <v>1000000</v>
      </c>
      <c r="L318" s="16"/>
      <c r="M318" s="15"/>
      <c r="N318" s="15">
        <v>1045.9000000000001</v>
      </c>
      <c r="O318" s="15">
        <f>5000000-73000</f>
        <v>4927000</v>
      </c>
      <c r="P318" s="11"/>
      <c r="Q318" s="15"/>
      <c r="R318" s="15"/>
      <c r="S318" s="15"/>
      <c r="T318" s="15"/>
      <c r="U318" s="15"/>
      <c r="V318" s="15">
        <v>733000</v>
      </c>
    </row>
    <row r="319" spans="1:22" ht="12.75" customHeight="1" x14ac:dyDescent="0.2">
      <c r="A319" s="12">
        <v>26</v>
      </c>
      <c r="B319" s="21" t="s">
        <v>219</v>
      </c>
      <c r="C319" s="11">
        <v>1327.4</v>
      </c>
      <c r="D319" s="15">
        <f t="shared" si="39"/>
        <v>7590000</v>
      </c>
      <c r="E319" s="15">
        <f t="shared" si="40"/>
        <v>7590000</v>
      </c>
      <c r="F319" s="15"/>
      <c r="G319" s="15">
        <v>1000000</v>
      </c>
      <c r="H319" s="15"/>
      <c r="I319" s="15"/>
      <c r="J319" s="15">
        <v>1000000</v>
      </c>
      <c r="K319" s="15">
        <v>1000000</v>
      </c>
      <c r="L319" s="16"/>
      <c r="M319" s="15"/>
      <c r="N319" s="15">
        <v>531.5</v>
      </c>
      <c r="O319" s="15">
        <f>4000000-71000</f>
        <v>3929000</v>
      </c>
      <c r="P319" s="11"/>
      <c r="Q319" s="15"/>
      <c r="R319" s="15"/>
      <c r="S319" s="15"/>
      <c r="T319" s="15"/>
      <c r="U319" s="15"/>
      <c r="V319" s="15">
        <v>661000</v>
      </c>
    </row>
    <row r="320" spans="1:22" ht="12.75" customHeight="1" x14ac:dyDescent="0.2">
      <c r="A320" s="12">
        <v>27</v>
      </c>
      <c r="B320" s="21" t="s">
        <v>220</v>
      </c>
      <c r="C320" s="11">
        <v>3194.97</v>
      </c>
      <c r="D320" s="15">
        <f t="shared" si="39"/>
        <v>11870000</v>
      </c>
      <c r="E320" s="15">
        <f t="shared" si="40"/>
        <v>11870000</v>
      </c>
      <c r="F320" s="11"/>
      <c r="G320" s="11">
        <v>2000000</v>
      </c>
      <c r="H320" s="11"/>
      <c r="I320" s="11"/>
      <c r="J320" s="11">
        <v>2000000</v>
      </c>
      <c r="K320" s="11">
        <v>1500000</v>
      </c>
      <c r="L320" s="13"/>
      <c r="M320" s="11"/>
      <c r="N320" s="11">
        <v>1069</v>
      </c>
      <c r="O320" s="11">
        <f>5500000-137000</f>
        <v>5363000</v>
      </c>
      <c r="P320" s="11"/>
      <c r="Q320" s="11"/>
      <c r="R320" s="11"/>
      <c r="S320" s="11"/>
      <c r="T320" s="11"/>
      <c r="U320" s="11"/>
      <c r="V320" s="15">
        <v>1007000</v>
      </c>
    </row>
    <row r="321" spans="1:22" ht="12.75" customHeight="1" x14ac:dyDescent="0.2">
      <c r="A321" s="12">
        <v>28</v>
      </c>
      <c r="B321" s="21" t="s">
        <v>221</v>
      </c>
      <c r="C321" s="11">
        <v>1514</v>
      </c>
      <c r="D321" s="15">
        <f t="shared" si="39"/>
        <v>8660000</v>
      </c>
      <c r="E321" s="15">
        <f t="shared" si="40"/>
        <v>8660000</v>
      </c>
      <c r="F321" s="15"/>
      <c r="G321" s="15">
        <v>1000000</v>
      </c>
      <c r="H321" s="15"/>
      <c r="I321" s="15"/>
      <c r="J321" s="15">
        <v>1000000</v>
      </c>
      <c r="K321" s="15">
        <v>1000000</v>
      </c>
      <c r="L321" s="16"/>
      <c r="M321" s="15"/>
      <c r="N321" s="15">
        <v>522</v>
      </c>
      <c r="O321" s="15">
        <f>5000000-73000</f>
        <v>4927000</v>
      </c>
      <c r="P321" s="11"/>
      <c r="Q321" s="15"/>
      <c r="R321" s="15"/>
      <c r="S321" s="15"/>
      <c r="T321" s="15"/>
      <c r="U321" s="15"/>
      <c r="V321" s="15">
        <v>733000</v>
      </c>
    </row>
    <row r="322" spans="1:22" ht="12.75" customHeight="1" x14ac:dyDescent="0.2">
      <c r="A322" s="12">
        <v>29</v>
      </c>
      <c r="B322" s="21" t="s">
        <v>222</v>
      </c>
      <c r="C322" s="11">
        <v>1484.5</v>
      </c>
      <c r="D322" s="15">
        <f t="shared" si="39"/>
        <v>8660000</v>
      </c>
      <c r="E322" s="15">
        <f t="shared" si="40"/>
        <v>8660000</v>
      </c>
      <c r="F322" s="15"/>
      <c r="G322" s="15">
        <v>1000000</v>
      </c>
      <c r="H322" s="15"/>
      <c r="I322" s="15"/>
      <c r="J322" s="15">
        <v>1000000</v>
      </c>
      <c r="K322" s="15">
        <v>1000000</v>
      </c>
      <c r="L322" s="16"/>
      <c r="M322" s="15"/>
      <c r="N322" s="15">
        <v>522</v>
      </c>
      <c r="O322" s="15">
        <v>4927000</v>
      </c>
      <c r="P322" s="11"/>
      <c r="Q322" s="15"/>
      <c r="R322" s="15"/>
      <c r="S322" s="15"/>
      <c r="T322" s="15"/>
      <c r="U322" s="15"/>
      <c r="V322" s="15">
        <v>733000</v>
      </c>
    </row>
    <row r="323" spans="1:22" ht="12.75" customHeight="1" x14ac:dyDescent="0.2">
      <c r="A323" s="19" t="s">
        <v>26</v>
      </c>
      <c r="B323" s="20"/>
      <c r="C323" s="17"/>
      <c r="D323" s="15"/>
      <c r="E323" s="15"/>
      <c r="F323" s="17"/>
      <c r="G323" s="17"/>
      <c r="H323" s="17"/>
      <c r="I323" s="17"/>
      <c r="J323" s="17"/>
      <c r="K323" s="17"/>
      <c r="L323" s="18"/>
      <c r="M323" s="17"/>
      <c r="N323" s="17"/>
      <c r="O323" s="17"/>
      <c r="P323" s="17"/>
      <c r="Q323" s="17"/>
      <c r="R323" s="17"/>
      <c r="S323" s="17"/>
      <c r="T323" s="17"/>
      <c r="U323" s="17"/>
      <c r="V323" s="15"/>
    </row>
    <row r="324" spans="1:22" ht="12.75" customHeight="1" x14ac:dyDescent="0.2">
      <c r="A324" s="12">
        <v>30</v>
      </c>
      <c r="B324" s="22" t="s">
        <v>404</v>
      </c>
      <c r="C324" s="15">
        <v>12691.6</v>
      </c>
      <c r="D324" s="15">
        <f t="shared" ref="D324:D334" si="41">F324+G324+H324+I324+J324+K324+M324+O324+Q324+S324+U324+V324</f>
        <v>85245296</v>
      </c>
      <c r="E324" s="15">
        <f>D324</f>
        <v>85245296</v>
      </c>
      <c r="F324" s="11"/>
      <c r="G324" s="11"/>
      <c r="H324" s="11"/>
      <c r="I324" s="11"/>
      <c r="J324" s="11"/>
      <c r="K324" s="11"/>
      <c r="L324" s="16"/>
      <c r="M324" s="15"/>
      <c r="N324" s="15">
        <v>1737.6</v>
      </c>
      <c r="O324" s="15">
        <v>18943316</v>
      </c>
      <c r="P324" s="11"/>
      <c r="Q324" s="15"/>
      <c r="R324" s="15">
        <v>6054.56</v>
      </c>
      <c r="S324" s="15">
        <v>60335358</v>
      </c>
      <c r="T324" s="15"/>
      <c r="U324" s="15"/>
      <c r="V324" s="15">
        <v>5966622</v>
      </c>
    </row>
    <row r="325" spans="1:22" ht="12.75" customHeight="1" x14ac:dyDescent="0.2">
      <c r="A325" s="12">
        <v>31</v>
      </c>
      <c r="B325" s="22" t="s">
        <v>401</v>
      </c>
      <c r="C325" s="15">
        <v>11241.7</v>
      </c>
      <c r="D325" s="15">
        <f t="shared" si="41"/>
        <v>18385210</v>
      </c>
      <c r="E325" s="15">
        <f>D325</f>
        <v>18385210</v>
      </c>
      <c r="F325" s="11"/>
      <c r="G325" s="11"/>
      <c r="H325" s="11"/>
      <c r="I325" s="11"/>
      <c r="J325" s="11"/>
      <c r="K325" s="11"/>
      <c r="L325" s="16"/>
      <c r="M325" s="15"/>
      <c r="N325" s="15">
        <v>1561.5</v>
      </c>
      <c r="O325" s="15">
        <v>17023473</v>
      </c>
      <c r="P325" s="11"/>
      <c r="Q325" s="15"/>
      <c r="R325" s="15"/>
      <c r="S325" s="15"/>
      <c r="T325" s="15"/>
      <c r="U325" s="15"/>
      <c r="V325" s="15">
        <v>1361737</v>
      </c>
    </row>
    <row r="326" spans="1:22" ht="12.75" customHeight="1" x14ac:dyDescent="0.2">
      <c r="A326" s="12">
        <v>32</v>
      </c>
      <c r="B326" s="22" t="s">
        <v>402</v>
      </c>
      <c r="C326" s="15">
        <v>17789</v>
      </c>
      <c r="D326" s="15">
        <f t="shared" si="41"/>
        <v>116820136</v>
      </c>
      <c r="E326" s="15">
        <f>D326</f>
        <v>116820136</v>
      </c>
      <c r="F326" s="11"/>
      <c r="G326" s="11"/>
      <c r="H326" s="11"/>
      <c r="I326" s="11"/>
      <c r="J326" s="11"/>
      <c r="K326" s="11"/>
      <c r="L326" s="16"/>
      <c r="M326" s="15"/>
      <c r="N326" s="15">
        <v>2211.5</v>
      </c>
      <c r="O326" s="15">
        <v>24109773</v>
      </c>
      <c r="P326" s="11"/>
      <c r="Q326" s="15"/>
      <c r="R326" s="15">
        <v>15296.72</v>
      </c>
      <c r="S326" s="15">
        <v>84568194</v>
      </c>
      <c r="T326" s="15"/>
      <c r="U326" s="15"/>
      <c r="V326" s="15">
        <v>8142169</v>
      </c>
    </row>
    <row r="327" spans="1:22" ht="12.75" customHeight="1" x14ac:dyDescent="0.2">
      <c r="A327" s="12">
        <v>33</v>
      </c>
      <c r="B327" s="22" t="s">
        <v>403</v>
      </c>
      <c r="C327" s="15">
        <v>9277.76</v>
      </c>
      <c r="D327" s="15">
        <f t="shared" si="41"/>
        <v>17019141</v>
      </c>
      <c r="E327" s="15">
        <f t="shared" ref="E327:E334" si="42">D327</f>
        <v>17019141</v>
      </c>
      <c r="F327" s="11"/>
      <c r="G327" s="11"/>
      <c r="H327" s="11"/>
      <c r="I327" s="11"/>
      <c r="J327" s="11"/>
      <c r="K327" s="11"/>
      <c r="L327" s="16"/>
      <c r="M327" s="15"/>
      <c r="N327" s="15">
        <v>1445</v>
      </c>
      <c r="O327" s="15">
        <v>15753390</v>
      </c>
      <c r="P327" s="11"/>
      <c r="Q327" s="15"/>
      <c r="R327" s="15"/>
      <c r="S327" s="15"/>
      <c r="T327" s="15"/>
      <c r="U327" s="15"/>
      <c r="V327" s="15">
        <v>1265751</v>
      </c>
    </row>
    <row r="328" spans="1:22" ht="12.75" customHeight="1" x14ac:dyDescent="0.2">
      <c r="A328" s="12">
        <v>34</v>
      </c>
      <c r="B328" s="22" t="s">
        <v>398</v>
      </c>
      <c r="C328" s="15">
        <v>9223.2000000000007</v>
      </c>
      <c r="D328" s="15">
        <f t="shared" si="41"/>
        <v>61304872</v>
      </c>
      <c r="E328" s="15">
        <f t="shared" si="42"/>
        <v>61304872</v>
      </c>
      <c r="F328" s="11"/>
      <c r="G328" s="15"/>
      <c r="H328" s="15"/>
      <c r="I328" s="15"/>
      <c r="J328" s="11"/>
      <c r="K328" s="11"/>
      <c r="L328" s="16"/>
      <c r="M328" s="15"/>
      <c r="N328" s="15">
        <v>1205.3800000000001</v>
      </c>
      <c r="O328" s="15">
        <v>13141053</v>
      </c>
      <c r="P328" s="15"/>
      <c r="Q328" s="15"/>
      <c r="R328" s="15">
        <v>5920.63</v>
      </c>
      <c r="S328" s="15">
        <v>43846723</v>
      </c>
      <c r="T328" s="15"/>
      <c r="U328" s="15"/>
      <c r="V328" s="15">
        <v>4317096</v>
      </c>
    </row>
    <row r="329" spans="1:22" ht="12.75" customHeight="1" x14ac:dyDescent="0.2">
      <c r="A329" s="12">
        <v>35</v>
      </c>
      <c r="B329" s="22" t="s">
        <v>399</v>
      </c>
      <c r="C329" s="15">
        <v>7439.4</v>
      </c>
      <c r="D329" s="15">
        <f t="shared" si="41"/>
        <v>49272384</v>
      </c>
      <c r="E329" s="15">
        <f t="shared" si="42"/>
        <v>49272384</v>
      </c>
      <c r="F329" s="11"/>
      <c r="G329" s="11"/>
      <c r="H329" s="11"/>
      <c r="I329" s="11"/>
      <c r="J329" s="11"/>
      <c r="K329" s="11"/>
      <c r="L329" s="16"/>
      <c r="M329" s="15"/>
      <c r="N329" s="15">
        <v>955.58</v>
      </c>
      <c r="O329" s="15">
        <v>10417733</v>
      </c>
      <c r="P329" s="11"/>
      <c r="Q329" s="15"/>
      <c r="R329" s="15">
        <v>6490.8</v>
      </c>
      <c r="S329" s="15">
        <v>35366610</v>
      </c>
      <c r="T329" s="15"/>
      <c r="U329" s="15"/>
      <c r="V329" s="15">
        <v>3488041</v>
      </c>
    </row>
    <row r="330" spans="1:22" ht="12.75" customHeight="1" x14ac:dyDescent="0.2">
      <c r="A330" s="12">
        <v>36</v>
      </c>
      <c r="B330" s="22" t="s">
        <v>400</v>
      </c>
      <c r="C330" s="15">
        <v>10412</v>
      </c>
      <c r="D330" s="15">
        <f t="shared" si="41"/>
        <v>71971679</v>
      </c>
      <c r="E330" s="15">
        <f t="shared" si="42"/>
        <v>71971679</v>
      </c>
      <c r="F330" s="11"/>
      <c r="G330" s="11"/>
      <c r="H330" s="11"/>
      <c r="I330" s="11"/>
      <c r="J330" s="11"/>
      <c r="K330" s="11"/>
      <c r="L330" s="16"/>
      <c r="M330" s="15"/>
      <c r="N330" s="15">
        <v>1598</v>
      </c>
      <c r="O330" s="15">
        <v>17421396</v>
      </c>
      <c r="P330" s="11"/>
      <c r="Q330" s="15"/>
      <c r="R330" s="15">
        <v>7014.06</v>
      </c>
      <c r="S330" s="15">
        <v>49498231</v>
      </c>
      <c r="T330" s="15"/>
      <c r="U330" s="15"/>
      <c r="V330" s="15">
        <v>5052052</v>
      </c>
    </row>
    <row r="331" spans="1:22" ht="12.75" customHeight="1" x14ac:dyDescent="0.2">
      <c r="A331" s="12">
        <v>37</v>
      </c>
      <c r="B331" s="22" t="s">
        <v>223</v>
      </c>
      <c r="C331" s="15">
        <v>12806.6</v>
      </c>
      <c r="D331" s="15">
        <f t="shared" si="41"/>
        <v>88413973.390000001</v>
      </c>
      <c r="E331" s="15">
        <f t="shared" si="42"/>
        <v>88413973.390000001</v>
      </c>
      <c r="F331" s="11"/>
      <c r="G331" s="11"/>
      <c r="H331" s="11"/>
      <c r="I331" s="11"/>
      <c r="J331" s="11"/>
      <c r="K331" s="11"/>
      <c r="L331" s="16"/>
      <c r="M331" s="15"/>
      <c r="N331" s="15">
        <v>1800.04</v>
      </c>
      <c r="O331" s="15">
        <f>19624540+1849881.25</f>
        <v>21474421.25</v>
      </c>
      <c r="P331" s="11"/>
      <c r="Q331" s="15"/>
      <c r="R331" s="15">
        <v>11026.6</v>
      </c>
      <c r="S331" s="15">
        <v>60882064.140000001</v>
      </c>
      <c r="T331" s="15"/>
      <c r="U331" s="15"/>
      <c r="V331" s="15">
        <v>6057488</v>
      </c>
    </row>
    <row r="332" spans="1:22" ht="12.75" customHeight="1" x14ac:dyDescent="0.2">
      <c r="A332" s="12">
        <v>38</v>
      </c>
      <c r="B332" s="22" t="s">
        <v>226</v>
      </c>
      <c r="C332" s="15">
        <v>2487.09</v>
      </c>
      <c r="D332" s="15">
        <f t="shared" si="41"/>
        <v>23647052.609999999</v>
      </c>
      <c r="E332" s="15">
        <f t="shared" si="42"/>
        <v>23647052.609999999</v>
      </c>
      <c r="F332" s="11"/>
      <c r="G332" s="11"/>
      <c r="H332" s="11"/>
      <c r="I332" s="11"/>
      <c r="J332" s="11"/>
      <c r="K332" s="11"/>
      <c r="L332" s="16"/>
      <c r="M332" s="15"/>
      <c r="N332" s="15">
        <v>1450</v>
      </c>
      <c r="O332" s="15">
        <v>11823526</v>
      </c>
      <c r="P332" s="11"/>
      <c r="Q332" s="15"/>
      <c r="R332" s="15">
        <v>1634.8</v>
      </c>
      <c r="S332" s="15">
        <f>11823525.86-1849881.25</f>
        <v>9973644.6099999994</v>
      </c>
      <c r="T332" s="15"/>
      <c r="U332" s="15"/>
      <c r="V332" s="15">
        <v>1849882</v>
      </c>
    </row>
    <row r="333" spans="1:22" ht="12.75" customHeight="1" x14ac:dyDescent="0.2">
      <c r="A333" s="12">
        <v>39</v>
      </c>
      <c r="B333" s="22" t="s">
        <v>225</v>
      </c>
      <c r="C333" s="15">
        <v>714.9</v>
      </c>
      <c r="D333" s="15">
        <f t="shared" si="41"/>
        <v>6797212.0099999998</v>
      </c>
      <c r="E333" s="15">
        <f t="shared" si="42"/>
        <v>6797212.0099999998</v>
      </c>
      <c r="F333" s="11"/>
      <c r="G333" s="11"/>
      <c r="H333" s="11"/>
      <c r="I333" s="11"/>
      <c r="J333" s="11"/>
      <c r="K333" s="11"/>
      <c r="L333" s="16"/>
      <c r="M333" s="15"/>
      <c r="N333" s="15">
        <v>598.9</v>
      </c>
      <c r="O333" s="15">
        <v>3398606</v>
      </c>
      <c r="P333" s="11"/>
      <c r="Q333" s="15"/>
      <c r="R333" s="15">
        <v>656.94</v>
      </c>
      <c r="S333" s="15">
        <f>3398606-602993.99</f>
        <v>2795612.01</v>
      </c>
      <c r="T333" s="15"/>
      <c r="U333" s="15"/>
      <c r="V333" s="15">
        <v>602994</v>
      </c>
    </row>
    <row r="334" spans="1:22" ht="12.75" customHeight="1" x14ac:dyDescent="0.2">
      <c r="A334" s="12">
        <v>40</v>
      </c>
      <c r="B334" s="22" t="s">
        <v>224</v>
      </c>
      <c r="C334" s="15">
        <v>995.7</v>
      </c>
      <c r="D334" s="15">
        <f t="shared" si="41"/>
        <v>9467035.9399999995</v>
      </c>
      <c r="E334" s="15">
        <f t="shared" si="42"/>
        <v>9467035.9399999995</v>
      </c>
      <c r="F334" s="11"/>
      <c r="G334" s="11"/>
      <c r="H334" s="11"/>
      <c r="I334" s="11"/>
      <c r="J334" s="11"/>
      <c r="K334" s="11"/>
      <c r="L334" s="16"/>
      <c r="M334" s="15"/>
      <c r="N334" s="15">
        <v>790.7</v>
      </c>
      <c r="O334" s="15">
        <f>4733517-400279.53</f>
        <v>4333237.47</v>
      </c>
      <c r="P334" s="11"/>
      <c r="Q334" s="15"/>
      <c r="R334" s="15">
        <v>750.9</v>
      </c>
      <c r="S334" s="15">
        <f>4733517-400279.53</f>
        <v>4333237.47</v>
      </c>
      <c r="T334" s="15"/>
      <c r="U334" s="15"/>
      <c r="V334" s="15">
        <v>800561</v>
      </c>
    </row>
    <row r="335" spans="1:22" ht="12.75" customHeight="1" x14ac:dyDescent="0.2">
      <c r="A335" s="19" t="s">
        <v>27</v>
      </c>
      <c r="B335" s="20"/>
      <c r="C335" s="17"/>
      <c r="D335" s="15"/>
      <c r="E335" s="15"/>
      <c r="F335" s="17"/>
      <c r="G335" s="17"/>
      <c r="H335" s="17"/>
      <c r="I335" s="17"/>
      <c r="J335" s="17"/>
      <c r="K335" s="17"/>
      <c r="L335" s="18"/>
      <c r="M335" s="17"/>
      <c r="N335" s="17"/>
      <c r="O335" s="17"/>
      <c r="P335" s="17"/>
      <c r="Q335" s="17"/>
      <c r="R335" s="17"/>
      <c r="S335" s="17"/>
      <c r="T335" s="17"/>
      <c r="U335" s="17"/>
      <c r="V335" s="15"/>
    </row>
    <row r="336" spans="1:22" ht="12.75" customHeight="1" x14ac:dyDescent="0.2">
      <c r="A336" s="12">
        <v>41</v>
      </c>
      <c r="B336" s="25" t="s">
        <v>227</v>
      </c>
      <c r="C336" s="11">
        <v>6550</v>
      </c>
      <c r="D336" s="15">
        <f t="shared" ref="D336" si="43">F336+G336+H336+I336+J336+K336+M336+O336+Q336+S336+U336+V336</f>
        <v>26633885.050000001</v>
      </c>
      <c r="E336" s="15">
        <f>D336</f>
        <v>26633885.050000001</v>
      </c>
      <c r="F336" s="15"/>
      <c r="G336" s="15"/>
      <c r="H336" s="15"/>
      <c r="I336" s="15"/>
      <c r="J336" s="15"/>
      <c r="K336" s="15"/>
      <c r="L336" s="16"/>
      <c r="M336" s="15"/>
      <c r="N336" s="15">
        <v>1795</v>
      </c>
      <c r="O336" s="15">
        <v>13500754</v>
      </c>
      <c r="P336" s="15"/>
      <c r="Q336" s="15"/>
      <c r="R336" s="15">
        <v>1674</v>
      </c>
      <c r="S336" s="15">
        <f>10000000+800559.05</f>
        <v>10800559.050000001</v>
      </c>
      <c r="T336" s="15"/>
      <c r="U336" s="15"/>
      <c r="V336" s="15">
        <v>2332572</v>
      </c>
    </row>
    <row r="337" spans="1:22" ht="12.75" customHeight="1" x14ac:dyDescent="0.2">
      <c r="A337" s="19" t="s">
        <v>28</v>
      </c>
      <c r="B337" s="20"/>
      <c r="C337" s="17"/>
      <c r="D337" s="15"/>
      <c r="E337" s="15"/>
      <c r="F337" s="17"/>
      <c r="G337" s="17"/>
      <c r="H337" s="17"/>
      <c r="I337" s="17"/>
      <c r="J337" s="17"/>
      <c r="K337" s="17"/>
      <c r="L337" s="18"/>
      <c r="M337" s="17"/>
      <c r="N337" s="17"/>
      <c r="O337" s="17"/>
      <c r="P337" s="17"/>
      <c r="Q337" s="17"/>
      <c r="R337" s="17"/>
      <c r="S337" s="17"/>
      <c r="T337" s="17"/>
      <c r="U337" s="17"/>
      <c r="V337" s="15"/>
    </row>
    <row r="338" spans="1:22" ht="12.75" customHeight="1" x14ac:dyDescent="0.2">
      <c r="A338" s="12">
        <v>42</v>
      </c>
      <c r="B338" s="22" t="s">
        <v>444</v>
      </c>
      <c r="C338" s="15">
        <v>2085</v>
      </c>
      <c r="D338" s="15">
        <f t="shared" ref="D338:D339" si="44">F338+G338+H338+I338+J338+K338+M338+O338+Q338+S338+U338+V338</f>
        <v>23313543</v>
      </c>
      <c r="E338" s="15">
        <f>D338</f>
        <v>23313543</v>
      </c>
      <c r="F338" s="26"/>
      <c r="G338" s="26"/>
      <c r="H338" s="15"/>
      <c r="I338" s="15"/>
      <c r="J338" s="26">
        <v>1367451</v>
      </c>
      <c r="K338" s="26">
        <v>1100000</v>
      </c>
      <c r="L338" s="16"/>
      <c r="M338" s="15"/>
      <c r="N338" s="26">
        <v>440</v>
      </c>
      <c r="O338" s="26">
        <v>9675630</v>
      </c>
      <c r="P338" s="26">
        <v>224</v>
      </c>
      <c r="Q338" s="26">
        <v>7000000</v>
      </c>
      <c r="R338" s="26">
        <v>1476</v>
      </c>
      <c r="S338" s="26"/>
      <c r="T338" s="15"/>
      <c r="U338" s="15"/>
      <c r="V338" s="15">
        <v>4170462</v>
      </c>
    </row>
    <row r="339" spans="1:22" ht="12.75" customHeight="1" x14ac:dyDescent="0.2">
      <c r="A339" s="12">
        <v>43</v>
      </c>
      <c r="B339" s="22" t="s">
        <v>228</v>
      </c>
      <c r="C339" s="15">
        <v>3652.49</v>
      </c>
      <c r="D339" s="15">
        <f t="shared" si="44"/>
        <v>14174061</v>
      </c>
      <c r="E339" s="15">
        <f>D339</f>
        <v>14174061</v>
      </c>
      <c r="F339" s="15"/>
      <c r="G339" s="15"/>
      <c r="H339" s="15"/>
      <c r="I339" s="15"/>
      <c r="J339" s="15"/>
      <c r="K339" s="15"/>
      <c r="L339" s="16"/>
      <c r="M339" s="15"/>
      <c r="N339" s="11">
        <v>1093</v>
      </c>
      <c r="O339" s="26">
        <f>13246786-86000</f>
        <v>13160786</v>
      </c>
      <c r="P339" s="15"/>
      <c r="Q339" s="15"/>
      <c r="R339" s="15"/>
      <c r="S339" s="15"/>
      <c r="T339" s="15"/>
      <c r="U339" s="15"/>
      <c r="V339" s="15">
        <v>1013275</v>
      </c>
    </row>
    <row r="340" spans="1:22" ht="12.75" customHeight="1" x14ac:dyDescent="0.2">
      <c r="A340" s="19" t="s">
        <v>35</v>
      </c>
      <c r="B340" s="20"/>
      <c r="C340" s="17"/>
      <c r="D340" s="15"/>
      <c r="E340" s="15"/>
      <c r="F340" s="17"/>
      <c r="G340" s="17"/>
      <c r="H340" s="17"/>
      <c r="I340" s="17"/>
      <c r="J340" s="17"/>
      <c r="K340" s="17"/>
      <c r="L340" s="18"/>
      <c r="M340" s="17"/>
      <c r="N340" s="17"/>
      <c r="O340" s="17"/>
      <c r="P340" s="17"/>
      <c r="Q340" s="17"/>
      <c r="R340" s="17"/>
      <c r="S340" s="17"/>
      <c r="T340" s="17"/>
      <c r="U340" s="17"/>
      <c r="V340" s="15"/>
    </row>
    <row r="341" spans="1:22" ht="12.75" customHeight="1" x14ac:dyDescent="0.2">
      <c r="A341" s="19" t="s">
        <v>232</v>
      </c>
      <c r="B341" s="30"/>
      <c r="C341" s="17"/>
      <c r="D341" s="15"/>
      <c r="E341" s="15"/>
      <c r="F341" s="17"/>
      <c r="G341" s="17"/>
      <c r="H341" s="17"/>
      <c r="I341" s="17"/>
      <c r="J341" s="17"/>
      <c r="K341" s="17"/>
      <c r="L341" s="18"/>
      <c r="M341" s="17"/>
      <c r="N341" s="15"/>
      <c r="O341" s="15"/>
      <c r="P341" s="15"/>
      <c r="Q341" s="15"/>
      <c r="R341" s="15"/>
      <c r="S341" s="15"/>
      <c r="T341" s="15"/>
      <c r="U341" s="15"/>
      <c r="V341" s="15"/>
    </row>
    <row r="342" spans="1:22" ht="12.75" customHeight="1" x14ac:dyDescent="0.2">
      <c r="A342" s="12">
        <v>44</v>
      </c>
      <c r="B342" s="21" t="s">
        <v>366</v>
      </c>
      <c r="C342" s="11">
        <v>16026.23</v>
      </c>
      <c r="D342" s="15">
        <f t="shared" ref="D342:D348" si="45">F342+G342+H342+I342+J342+K342+M342+O342+Q342+S342+U342+V342</f>
        <v>1803025</v>
      </c>
      <c r="E342" s="15">
        <v>1803025</v>
      </c>
      <c r="F342" s="17"/>
      <c r="G342" s="17"/>
      <c r="H342" s="17"/>
      <c r="I342" s="17"/>
      <c r="J342" s="15">
        <v>1500000</v>
      </c>
      <c r="K342" s="17"/>
      <c r="L342" s="18"/>
      <c r="M342" s="17"/>
      <c r="N342" s="15"/>
      <c r="O342" s="15"/>
      <c r="P342" s="15"/>
      <c r="Q342" s="15"/>
      <c r="R342" s="15"/>
      <c r="S342" s="15"/>
      <c r="T342" s="15"/>
      <c r="U342" s="15"/>
      <c r="V342" s="15">
        <v>303025</v>
      </c>
    </row>
    <row r="343" spans="1:22" ht="12.75" customHeight="1" x14ac:dyDescent="0.2">
      <c r="A343" s="12">
        <v>45</v>
      </c>
      <c r="B343" s="21" t="s">
        <v>234</v>
      </c>
      <c r="C343" s="11">
        <v>4720.8999999999996</v>
      </c>
      <c r="D343" s="15">
        <f t="shared" si="45"/>
        <v>22524945</v>
      </c>
      <c r="E343" s="15">
        <f>D343</f>
        <v>22524945</v>
      </c>
      <c r="F343" s="15"/>
      <c r="G343" s="15">
        <v>4350000</v>
      </c>
      <c r="H343" s="15"/>
      <c r="I343" s="15"/>
      <c r="J343" s="15">
        <v>4350000</v>
      </c>
      <c r="K343" s="15">
        <v>2300000</v>
      </c>
      <c r="L343" s="16"/>
      <c r="M343" s="15"/>
      <c r="N343" s="15">
        <v>851</v>
      </c>
      <c r="O343" s="27">
        <f>11126000-1803025</f>
        <v>9322975</v>
      </c>
      <c r="P343" s="15"/>
      <c r="Q343" s="15"/>
      <c r="R343" s="15"/>
      <c r="S343" s="15"/>
      <c r="T343" s="15"/>
      <c r="U343" s="15"/>
      <c r="V343" s="15">
        <v>2201970</v>
      </c>
    </row>
    <row r="344" spans="1:22" ht="12.75" customHeight="1" x14ac:dyDescent="0.2">
      <c r="A344" s="12">
        <v>46</v>
      </c>
      <c r="B344" s="21" t="s">
        <v>235</v>
      </c>
      <c r="C344" s="11">
        <v>5106.6000000000004</v>
      </c>
      <c r="D344" s="15">
        <f t="shared" si="45"/>
        <v>33979300</v>
      </c>
      <c r="E344" s="15">
        <f t="shared" ref="E344:E348" si="46">D344</f>
        <v>33979300</v>
      </c>
      <c r="F344" s="15"/>
      <c r="G344" s="15">
        <v>4350000</v>
      </c>
      <c r="H344" s="15"/>
      <c r="I344" s="15"/>
      <c r="J344" s="15">
        <v>4350000</v>
      </c>
      <c r="K344" s="15">
        <v>2300000</v>
      </c>
      <c r="L344" s="16"/>
      <c r="M344" s="15"/>
      <c r="N344" s="15">
        <v>1190</v>
      </c>
      <c r="O344" s="27">
        <v>19940000</v>
      </c>
      <c r="P344" s="15"/>
      <c r="Q344" s="15"/>
      <c r="R344" s="15"/>
      <c r="S344" s="15"/>
      <c r="T344" s="15"/>
      <c r="U344" s="15"/>
      <c r="V344" s="15">
        <v>3039300</v>
      </c>
    </row>
    <row r="345" spans="1:22" ht="12.75" customHeight="1" x14ac:dyDescent="0.2">
      <c r="A345" s="12">
        <v>47</v>
      </c>
      <c r="B345" s="21" t="s">
        <v>236</v>
      </c>
      <c r="C345" s="11">
        <v>3293.1</v>
      </c>
      <c r="D345" s="15">
        <f t="shared" si="45"/>
        <v>25068190</v>
      </c>
      <c r="E345" s="15">
        <f t="shared" si="46"/>
        <v>25068190</v>
      </c>
      <c r="F345" s="15"/>
      <c r="G345" s="15">
        <v>4350000</v>
      </c>
      <c r="H345" s="15"/>
      <c r="I345" s="15"/>
      <c r="J345" s="15">
        <v>4350000</v>
      </c>
      <c r="K345" s="15">
        <v>2300000</v>
      </c>
      <c r="L345" s="16"/>
      <c r="M345" s="15"/>
      <c r="N345" s="15">
        <v>877</v>
      </c>
      <c r="O345" s="27">
        <v>11802000</v>
      </c>
      <c r="P345" s="15"/>
      <c r="Q345" s="15"/>
      <c r="R345" s="15"/>
      <c r="S345" s="15"/>
      <c r="T345" s="15"/>
      <c r="U345" s="15"/>
      <c r="V345" s="15">
        <v>2266190</v>
      </c>
    </row>
    <row r="346" spans="1:22" ht="12.75" customHeight="1" x14ac:dyDescent="0.2">
      <c r="A346" s="12">
        <v>48</v>
      </c>
      <c r="B346" s="21" t="s">
        <v>463</v>
      </c>
      <c r="C346" s="11">
        <v>4871.7</v>
      </c>
      <c r="D346" s="15">
        <f t="shared" si="45"/>
        <v>33979300</v>
      </c>
      <c r="E346" s="15">
        <f t="shared" si="46"/>
        <v>33979300</v>
      </c>
      <c r="F346" s="15"/>
      <c r="G346" s="15">
        <v>4350000</v>
      </c>
      <c r="H346" s="15"/>
      <c r="I346" s="15"/>
      <c r="J346" s="15">
        <v>4350000</v>
      </c>
      <c r="K346" s="15">
        <v>2300000</v>
      </c>
      <c r="L346" s="16"/>
      <c r="M346" s="15"/>
      <c r="N346" s="15">
        <v>1190</v>
      </c>
      <c r="O346" s="27">
        <v>19940000</v>
      </c>
      <c r="P346" s="15"/>
      <c r="Q346" s="15"/>
      <c r="R346" s="15"/>
      <c r="S346" s="15"/>
      <c r="T346" s="15"/>
      <c r="U346" s="15"/>
      <c r="V346" s="15">
        <v>3039300</v>
      </c>
    </row>
    <row r="347" spans="1:22" ht="12.75" customHeight="1" x14ac:dyDescent="0.2">
      <c r="A347" s="12">
        <v>49</v>
      </c>
      <c r="B347" s="21" t="s">
        <v>233</v>
      </c>
      <c r="C347" s="11">
        <v>4683.8</v>
      </c>
      <c r="D347" s="15">
        <f t="shared" si="45"/>
        <v>38679040</v>
      </c>
      <c r="E347" s="15">
        <f t="shared" si="46"/>
        <v>38679040</v>
      </c>
      <c r="F347" s="15"/>
      <c r="G347" s="15">
        <v>6350000</v>
      </c>
      <c r="H347" s="15"/>
      <c r="I347" s="15"/>
      <c r="J347" s="15">
        <v>4350000</v>
      </c>
      <c r="K347" s="15">
        <v>2300000</v>
      </c>
      <c r="L347" s="16"/>
      <c r="M347" s="15"/>
      <c r="N347" s="15">
        <v>1468</v>
      </c>
      <c r="O347" s="27">
        <v>22232000</v>
      </c>
      <c r="P347" s="15"/>
      <c r="Q347" s="15"/>
      <c r="R347" s="15"/>
      <c r="S347" s="15"/>
      <c r="T347" s="15"/>
      <c r="U347" s="15"/>
      <c r="V347" s="15">
        <v>3447040.0000000005</v>
      </c>
    </row>
    <row r="348" spans="1:22" ht="12.75" customHeight="1" x14ac:dyDescent="0.2">
      <c r="A348" s="12">
        <v>50</v>
      </c>
      <c r="B348" s="21" t="s">
        <v>464</v>
      </c>
      <c r="C348" s="11">
        <v>9295.66</v>
      </c>
      <c r="D348" s="15">
        <f t="shared" si="45"/>
        <v>37916920</v>
      </c>
      <c r="E348" s="15">
        <f t="shared" si="46"/>
        <v>37916920</v>
      </c>
      <c r="F348" s="15"/>
      <c r="G348" s="15">
        <v>4000000</v>
      </c>
      <c r="H348" s="15"/>
      <c r="I348" s="15"/>
      <c r="J348" s="15">
        <v>4000000</v>
      </c>
      <c r="K348" s="15">
        <v>2000000</v>
      </c>
      <c r="L348" s="16"/>
      <c r="M348" s="15"/>
      <c r="N348" s="15">
        <v>1439</v>
      </c>
      <c r="O348" s="27">
        <v>24536000</v>
      </c>
      <c r="P348" s="15"/>
      <c r="Q348" s="15"/>
      <c r="R348" s="15"/>
      <c r="S348" s="15"/>
      <c r="T348" s="15"/>
      <c r="U348" s="15"/>
      <c r="V348" s="15">
        <v>3380920</v>
      </c>
    </row>
    <row r="349" spans="1:22" ht="12.75" customHeight="1" x14ac:dyDescent="0.2">
      <c r="A349" s="19" t="s">
        <v>44</v>
      </c>
      <c r="B349" s="20"/>
      <c r="C349" s="17"/>
      <c r="D349" s="15"/>
      <c r="E349" s="15"/>
      <c r="F349" s="17"/>
      <c r="G349" s="17"/>
      <c r="H349" s="17"/>
      <c r="I349" s="17"/>
      <c r="J349" s="17"/>
      <c r="K349" s="17"/>
      <c r="L349" s="18"/>
      <c r="M349" s="17"/>
      <c r="N349" s="17"/>
      <c r="O349" s="17"/>
      <c r="P349" s="17"/>
      <c r="Q349" s="17"/>
      <c r="R349" s="17"/>
      <c r="S349" s="17"/>
      <c r="T349" s="17"/>
      <c r="U349" s="17"/>
      <c r="V349" s="15"/>
    </row>
    <row r="350" spans="1:22" ht="12.75" customHeight="1" x14ac:dyDescent="0.2">
      <c r="A350" s="19" t="s">
        <v>45</v>
      </c>
      <c r="B350" s="20"/>
      <c r="C350" s="17"/>
      <c r="D350" s="15"/>
      <c r="E350" s="15"/>
      <c r="F350" s="17"/>
      <c r="G350" s="17"/>
      <c r="H350" s="17"/>
      <c r="I350" s="17"/>
      <c r="J350" s="17"/>
      <c r="K350" s="17"/>
      <c r="L350" s="18"/>
      <c r="M350" s="17"/>
      <c r="N350" s="15"/>
      <c r="O350" s="15"/>
      <c r="P350" s="15"/>
      <c r="Q350" s="15"/>
      <c r="R350" s="15"/>
      <c r="S350" s="15"/>
      <c r="T350" s="15"/>
      <c r="U350" s="15"/>
      <c r="V350" s="15"/>
    </row>
    <row r="351" spans="1:22" ht="12.75" customHeight="1" x14ac:dyDescent="0.2">
      <c r="A351" s="12">
        <v>51</v>
      </c>
      <c r="B351" s="21" t="s">
        <v>237</v>
      </c>
      <c r="C351" s="11">
        <v>2478.4499999999998</v>
      </c>
      <c r="D351" s="15">
        <f t="shared" ref="D351:D352" si="47">F351+G351+H351+I351+J351+K351+M351+O351+Q351+S351+U351+V351</f>
        <v>15920560</v>
      </c>
      <c r="E351" s="15">
        <f>D351</f>
        <v>15920560</v>
      </c>
      <c r="F351" s="15"/>
      <c r="G351" s="15">
        <v>2134000</v>
      </c>
      <c r="H351" s="15"/>
      <c r="I351" s="15"/>
      <c r="J351" s="15">
        <v>2152000</v>
      </c>
      <c r="K351" s="15">
        <v>1857000</v>
      </c>
      <c r="L351" s="16"/>
      <c r="M351" s="15"/>
      <c r="N351" s="15">
        <v>381.3</v>
      </c>
      <c r="O351" s="15">
        <v>5555000</v>
      </c>
      <c r="P351" s="15"/>
      <c r="Q351" s="15"/>
      <c r="R351" s="15">
        <v>725.2</v>
      </c>
      <c r="S351" s="15">
        <v>1650000</v>
      </c>
      <c r="T351" s="15">
        <v>168.9</v>
      </c>
      <c r="U351" s="15">
        <v>1100000</v>
      </c>
      <c r="V351" s="15">
        <v>1472560</v>
      </c>
    </row>
    <row r="352" spans="1:22" ht="12.75" customHeight="1" x14ac:dyDescent="0.2">
      <c r="A352" s="12">
        <v>52</v>
      </c>
      <c r="B352" s="21" t="s">
        <v>238</v>
      </c>
      <c r="C352" s="11">
        <v>2478.4499999999998</v>
      </c>
      <c r="D352" s="15">
        <f t="shared" si="47"/>
        <v>15920560</v>
      </c>
      <c r="E352" s="15">
        <f>D352</f>
        <v>15920560</v>
      </c>
      <c r="F352" s="15"/>
      <c r="G352" s="15">
        <v>2134000</v>
      </c>
      <c r="H352" s="15"/>
      <c r="I352" s="15"/>
      <c r="J352" s="15">
        <v>2152000</v>
      </c>
      <c r="K352" s="15">
        <v>1857000</v>
      </c>
      <c r="L352" s="16"/>
      <c r="M352" s="15"/>
      <c r="N352" s="15">
        <v>381.3</v>
      </c>
      <c r="O352" s="15">
        <v>5555000</v>
      </c>
      <c r="P352" s="15"/>
      <c r="Q352" s="15"/>
      <c r="R352" s="15">
        <v>725.2</v>
      </c>
      <c r="S352" s="15">
        <v>1650000</v>
      </c>
      <c r="T352" s="15">
        <v>168.9</v>
      </c>
      <c r="U352" s="15">
        <v>1100000</v>
      </c>
      <c r="V352" s="15">
        <v>1472560</v>
      </c>
    </row>
    <row r="353" spans="1:22" ht="12.75" customHeight="1" x14ac:dyDescent="0.2">
      <c r="A353" s="19" t="s">
        <v>47</v>
      </c>
      <c r="B353" s="20"/>
      <c r="C353" s="17"/>
      <c r="D353" s="15"/>
      <c r="E353" s="15"/>
      <c r="F353" s="17"/>
      <c r="G353" s="17"/>
      <c r="H353" s="17"/>
      <c r="I353" s="17"/>
      <c r="J353" s="17"/>
      <c r="K353" s="17"/>
      <c r="L353" s="18"/>
      <c r="M353" s="17"/>
      <c r="N353" s="17"/>
      <c r="O353" s="17"/>
      <c r="P353" s="17"/>
      <c r="Q353" s="17"/>
      <c r="R353" s="17"/>
      <c r="S353" s="17"/>
      <c r="T353" s="17"/>
      <c r="U353" s="17"/>
      <c r="V353" s="15"/>
    </row>
    <row r="354" spans="1:22" ht="12.75" customHeight="1" x14ac:dyDescent="0.2">
      <c r="A354" s="19" t="s">
        <v>53</v>
      </c>
      <c r="B354" s="20"/>
      <c r="C354" s="17"/>
      <c r="D354" s="15"/>
      <c r="E354" s="15"/>
      <c r="F354" s="17"/>
      <c r="G354" s="17"/>
      <c r="H354" s="17"/>
      <c r="I354" s="17"/>
      <c r="J354" s="17"/>
      <c r="K354" s="17"/>
      <c r="L354" s="18"/>
      <c r="M354" s="17"/>
      <c r="N354" s="15"/>
      <c r="O354" s="15"/>
      <c r="P354" s="15"/>
      <c r="Q354" s="15"/>
      <c r="R354" s="15"/>
      <c r="S354" s="15"/>
      <c r="T354" s="15"/>
      <c r="U354" s="15"/>
      <c r="V354" s="15"/>
    </row>
    <row r="355" spans="1:22" ht="12.75" customHeight="1" x14ac:dyDescent="0.2">
      <c r="A355" s="12">
        <v>53</v>
      </c>
      <c r="B355" s="21" t="s">
        <v>239</v>
      </c>
      <c r="C355" s="11">
        <v>1112.4000000000001</v>
      </c>
      <c r="D355" s="15">
        <f t="shared" ref="D355" si="48">F355+G355+H355+I355+J355+K355+M355+O355+Q355+S355+U355+V355</f>
        <v>5208175</v>
      </c>
      <c r="E355" s="15">
        <f>D355</f>
        <v>5208175</v>
      </c>
      <c r="F355" s="15"/>
      <c r="G355" s="15"/>
      <c r="H355" s="15"/>
      <c r="I355" s="15"/>
      <c r="J355" s="15"/>
      <c r="K355" s="15"/>
      <c r="L355" s="16"/>
      <c r="M355" s="15"/>
      <c r="N355" s="15">
        <v>853</v>
      </c>
      <c r="O355" s="15">
        <v>3650000</v>
      </c>
      <c r="P355" s="15"/>
      <c r="Q355" s="15"/>
      <c r="R355" s="15">
        <v>730</v>
      </c>
      <c r="S355" s="15">
        <v>1015000</v>
      </c>
      <c r="T355" s="15"/>
      <c r="U355" s="15"/>
      <c r="V355" s="15">
        <v>543175</v>
      </c>
    </row>
    <row r="356" spans="1:22" ht="12.75" customHeight="1" x14ac:dyDescent="0.2">
      <c r="A356" s="19" t="s">
        <v>48</v>
      </c>
      <c r="B356" s="20"/>
      <c r="C356" s="17"/>
      <c r="D356" s="15"/>
      <c r="E356" s="15"/>
      <c r="F356" s="17"/>
      <c r="G356" s="17"/>
      <c r="H356" s="17"/>
      <c r="I356" s="17"/>
      <c r="J356" s="17"/>
      <c r="K356" s="17"/>
      <c r="L356" s="18"/>
      <c r="M356" s="17"/>
      <c r="N356" s="17"/>
      <c r="O356" s="17"/>
      <c r="P356" s="17"/>
      <c r="Q356" s="17"/>
      <c r="R356" s="17"/>
      <c r="S356" s="17"/>
      <c r="T356" s="17"/>
      <c r="U356" s="17"/>
      <c r="V356" s="15"/>
    </row>
    <row r="357" spans="1:22" ht="12.75" customHeight="1" x14ac:dyDescent="0.2">
      <c r="A357" s="19" t="s">
        <v>55</v>
      </c>
      <c r="B357" s="19"/>
      <c r="C357" s="17"/>
      <c r="D357" s="15"/>
      <c r="E357" s="15"/>
      <c r="F357" s="17"/>
      <c r="G357" s="17"/>
      <c r="H357" s="17"/>
      <c r="I357" s="17"/>
      <c r="J357" s="17"/>
      <c r="K357" s="17"/>
      <c r="L357" s="18"/>
      <c r="M357" s="17"/>
      <c r="N357" s="15"/>
      <c r="O357" s="15"/>
      <c r="P357" s="15"/>
      <c r="Q357" s="15"/>
      <c r="R357" s="15"/>
      <c r="S357" s="15"/>
      <c r="T357" s="15"/>
      <c r="U357" s="15"/>
      <c r="V357" s="15"/>
    </row>
    <row r="358" spans="1:22" ht="12.75" customHeight="1" x14ac:dyDescent="0.2">
      <c r="A358" s="12">
        <v>54</v>
      </c>
      <c r="B358" s="21" t="s">
        <v>240</v>
      </c>
      <c r="C358" s="11">
        <v>4531</v>
      </c>
      <c r="D358" s="15">
        <f t="shared" ref="D358:D362" si="49">F358+G358+H358+I358+J358+K358+M358+O358+Q358+S358+U358+V358</f>
        <v>27375000</v>
      </c>
      <c r="E358" s="15">
        <f>D358</f>
        <v>27375000</v>
      </c>
      <c r="F358" s="15"/>
      <c r="G358" s="15"/>
      <c r="H358" s="15"/>
      <c r="I358" s="15"/>
      <c r="J358" s="15"/>
      <c r="K358" s="15"/>
      <c r="L358" s="16"/>
      <c r="M358" s="15"/>
      <c r="N358" s="15">
        <v>1100</v>
      </c>
      <c r="O358" s="28">
        <v>15000000</v>
      </c>
      <c r="P358" s="15"/>
      <c r="Q358" s="15"/>
      <c r="R358" s="15">
        <v>3682.15</v>
      </c>
      <c r="S358" s="28">
        <v>10000000</v>
      </c>
      <c r="T358" s="15"/>
      <c r="U358" s="15"/>
      <c r="V358" s="15">
        <v>2375000</v>
      </c>
    </row>
    <row r="359" spans="1:22" ht="12.75" customHeight="1" x14ac:dyDescent="0.2">
      <c r="A359" s="12">
        <v>55</v>
      </c>
      <c r="B359" s="21" t="s">
        <v>405</v>
      </c>
      <c r="C359" s="11">
        <v>1072</v>
      </c>
      <c r="D359" s="15">
        <f t="shared" si="49"/>
        <v>11497500</v>
      </c>
      <c r="E359" s="15">
        <f t="shared" ref="E359:E362" si="50">D359</f>
        <v>11497500</v>
      </c>
      <c r="F359" s="15"/>
      <c r="G359" s="15">
        <v>2500000</v>
      </c>
      <c r="H359" s="15"/>
      <c r="I359" s="15"/>
      <c r="J359" s="15">
        <v>2000000</v>
      </c>
      <c r="K359" s="15">
        <v>1000000</v>
      </c>
      <c r="L359" s="16"/>
      <c r="M359" s="15"/>
      <c r="N359" s="15">
        <v>812.07</v>
      </c>
      <c r="O359" s="28">
        <v>5000000</v>
      </c>
      <c r="P359" s="15"/>
      <c r="Q359" s="15"/>
      <c r="R359" s="15"/>
      <c r="S359" s="15"/>
      <c r="T359" s="15"/>
      <c r="U359" s="15"/>
      <c r="V359" s="15">
        <v>997500.00000000012</v>
      </c>
    </row>
    <row r="360" spans="1:22" ht="12.75" customHeight="1" x14ac:dyDescent="0.2">
      <c r="A360" s="12">
        <v>56</v>
      </c>
      <c r="B360" s="21" t="s">
        <v>465</v>
      </c>
      <c r="C360" s="11">
        <v>1020</v>
      </c>
      <c r="D360" s="15">
        <f t="shared" si="49"/>
        <v>8212500</v>
      </c>
      <c r="E360" s="15">
        <f t="shared" si="50"/>
        <v>8212500</v>
      </c>
      <c r="F360" s="15"/>
      <c r="G360" s="15"/>
      <c r="H360" s="15"/>
      <c r="I360" s="15"/>
      <c r="J360" s="15">
        <v>2000000</v>
      </c>
      <c r="K360" s="15">
        <v>1000000</v>
      </c>
      <c r="L360" s="16"/>
      <c r="M360" s="15"/>
      <c r="N360" s="15">
        <v>320</v>
      </c>
      <c r="O360" s="28">
        <v>4500000</v>
      </c>
      <c r="P360" s="15"/>
      <c r="Q360" s="15"/>
      <c r="R360" s="15"/>
      <c r="S360" s="15"/>
      <c r="T360" s="15"/>
      <c r="U360" s="15"/>
      <c r="V360" s="15">
        <v>712500</v>
      </c>
    </row>
    <row r="361" spans="1:22" ht="12.75" customHeight="1" x14ac:dyDescent="0.2">
      <c r="A361" s="12">
        <v>57</v>
      </c>
      <c r="B361" s="21" t="s">
        <v>315</v>
      </c>
      <c r="C361" s="11">
        <v>1899.6</v>
      </c>
      <c r="D361" s="15">
        <f t="shared" si="49"/>
        <v>12592500</v>
      </c>
      <c r="E361" s="15">
        <f t="shared" si="50"/>
        <v>12592500</v>
      </c>
      <c r="F361" s="15"/>
      <c r="G361" s="15"/>
      <c r="H361" s="15"/>
      <c r="I361" s="15"/>
      <c r="J361" s="15"/>
      <c r="K361" s="15"/>
      <c r="L361" s="16"/>
      <c r="M361" s="15"/>
      <c r="N361" s="15">
        <v>1023.6</v>
      </c>
      <c r="O361" s="28">
        <v>9000000</v>
      </c>
      <c r="P361" s="15"/>
      <c r="Q361" s="15"/>
      <c r="R361" s="15">
        <v>716.4</v>
      </c>
      <c r="S361" s="15">
        <v>2500000</v>
      </c>
      <c r="T361" s="15"/>
      <c r="U361" s="15"/>
      <c r="V361" s="15">
        <v>1092500</v>
      </c>
    </row>
    <row r="362" spans="1:22" ht="12.75" customHeight="1" x14ac:dyDescent="0.2">
      <c r="A362" s="12">
        <v>58</v>
      </c>
      <c r="B362" s="21" t="s">
        <v>241</v>
      </c>
      <c r="C362" s="11">
        <v>4238.83</v>
      </c>
      <c r="D362" s="15">
        <f t="shared" si="49"/>
        <v>39967500</v>
      </c>
      <c r="E362" s="15">
        <f t="shared" si="50"/>
        <v>39967500</v>
      </c>
      <c r="F362" s="15">
        <v>3000000</v>
      </c>
      <c r="G362" s="15">
        <v>7000000</v>
      </c>
      <c r="H362" s="15"/>
      <c r="I362" s="15"/>
      <c r="J362" s="15">
        <v>4000000</v>
      </c>
      <c r="K362" s="15">
        <v>2500000</v>
      </c>
      <c r="L362" s="16"/>
      <c r="M362" s="15"/>
      <c r="N362" s="15">
        <v>1670</v>
      </c>
      <c r="O362" s="28">
        <v>20000000</v>
      </c>
      <c r="P362" s="15"/>
      <c r="Q362" s="15"/>
      <c r="R362" s="15"/>
      <c r="S362" s="15"/>
      <c r="T362" s="15"/>
      <c r="U362" s="15"/>
      <c r="V362" s="15">
        <v>3467500.0000000005</v>
      </c>
    </row>
    <row r="363" spans="1:22" ht="12.75" customHeight="1" x14ac:dyDescent="0.2">
      <c r="A363" s="19" t="s">
        <v>49</v>
      </c>
      <c r="B363" s="20"/>
      <c r="C363" s="17"/>
      <c r="D363" s="15"/>
      <c r="E363" s="15"/>
      <c r="F363" s="17"/>
      <c r="G363" s="17"/>
      <c r="H363" s="17"/>
      <c r="I363" s="17"/>
      <c r="J363" s="17"/>
      <c r="K363" s="17"/>
      <c r="L363" s="18"/>
      <c r="M363" s="17"/>
      <c r="N363" s="17"/>
      <c r="O363" s="17"/>
      <c r="P363" s="17"/>
      <c r="Q363" s="17"/>
      <c r="R363" s="17"/>
      <c r="S363" s="17"/>
      <c r="T363" s="17"/>
      <c r="U363" s="17"/>
      <c r="V363" s="15"/>
    </row>
    <row r="364" spans="1:22" ht="12.75" customHeight="1" x14ac:dyDescent="0.2">
      <c r="A364" s="19" t="s">
        <v>56</v>
      </c>
      <c r="B364" s="20"/>
      <c r="C364" s="17"/>
      <c r="D364" s="15"/>
      <c r="E364" s="15"/>
      <c r="F364" s="17"/>
      <c r="G364" s="17"/>
      <c r="H364" s="17"/>
      <c r="I364" s="17"/>
      <c r="J364" s="17"/>
      <c r="K364" s="17"/>
      <c r="L364" s="18"/>
      <c r="M364" s="17"/>
      <c r="N364" s="15"/>
      <c r="O364" s="15"/>
      <c r="P364" s="15"/>
      <c r="Q364" s="15"/>
      <c r="R364" s="15"/>
      <c r="S364" s="15"/>
      <c r="T364" s="15"/>
      <c r="U364" s="15"/>
      <c r="V364" s="15"/>
    </row>
    <row r="365" spans="1:22" ht="12.75" customHeight="1" x14ac:dyDescent="0.2">
      <c r="A365" s="12">
        <v>59</v>
      </c>
      <c r="B365" s="21" t="s">
        <v>406</v>
      </c>
      <c r="C365" s="11">
        <v>1687.87</v>
      </c>
      <c r="D365" s="15">
        <f t="shared" ref="D365:D367" si="51">F365+G365+H365+I365+J365+K365+M365+O365+Q365+S365+U365+V365</f>
        <v>12030900</v>
      </c>
      <c r="E365" s="15">
        <f>D365</f>
        <v>12030900</v>
      </c>
      <c r="F365" s="11"/>
      <c r="G365" s="11">
        <f>3000000+639000</f>
        <v>3639000</v>
      </c>
      <c r="H365" s="11"/>
      <c r="I365" s="11"/>
      <c r="J365" s="11"/>
      <c r="K365" s="11"/>
      <c r="L365" s="13"/>
      <c r="M365" s="11"/>
      <c r="N365" s="15">
        <v>916.5</v>
      </c>
      <c r="O365" s="11">
        <v>7191900</v>
      </c>
      <c r="P365" s="11"/>
      <c r="Q365" s="15"/>
      <c r="R365" s="15"/>
      <c r="S365" s="15"/>
      <c r="T365" s="15"/>
      <c r="U365" s="15"/>
      <c r="V365" s="15">
        <v>1200000</v>
      </c>
    </row>
    <row r="366" spans="1:22" ht="12.75" customHeight="1" x14ac:dyDescent="0.2">
      <c r="A366" s="12">
        <v>60</v>
      </c>
      <c r="B366" s="21" t="s">
        <v>407</v>
      </c>
      <c r="C366" s="11">
        <v>1499.56</v>
      </c>
      <c r="D366" s="15">
        <f t="shared" si="51"/>
        <v>12010640</v>
      </c>
      <c r="E366" s="15">
        <f t="shared" ref="E366:E367" si="52">D366</f>
        <v>12010640</v>
      </c>
      <c r="F366" s="11"/>
      <c r="G366" s="11">
        <v>4000000</v>
      </c>
      <c r="H366" s="11"/>
      <c r="I366" s="11"/>
      <c r="J366" s="11"/>
      <c r="K366" s="11"/>
      <c r="L366" s="13"/>
      <c r="M366" s="11"/>
      <c r="N366" s="15">
        <v>951</v>
      </c>
      <c r="O366" s="11">
        <v>7010640</v>
      </c>
      <c r="P366" s="11"/>
      <c r="Q366" s="11"/>
      <c r="R366" s="11"/>
      <c r="S366" s="11"/>
      <c r="T366" s="11"/>
      <c r="U366" s="11"/>
      <c r="V366" s="15">
        <v>1000000</v>
      </c>
    </row>
    <row r="367" spans="1:22" ht="12.75" customHeight="1" x14ac:dyDescent="0.2">
      <c r="A367" s="12">
        <v>61</v>
      </c>
      <c r="B367" s="21" t="s">
        <v>324</v>
      </c>
      <c r="C367" s="11">
        <v>3011.43</v>
      </c>
      <c r="D367" s="15">
        <f t="shared" si="51"/>
        <v>20200500</v>
      </c>
      <c r="E367" s="15">
        <f t="shared" si="52"/>
        <v>20200500</v>
      </c>
      <c r="F367" s="11"/>
      <c r="G367" s="11"/>
      <c r="H367" s="11"/>
      <c r="I367" s="11"/>
      <c r="J367" s="11"/>
      <c r="K367" s="11"/>
      <c r="L367" s="13"/>
      <c r="M367" s="11"/>
      <c r="N367" s="15">
        <v>1313</v>
      </c>
      <c r="O367" s="11">
        <v>13700500</v>
      </c>
      <c r="P367" s="11"/>
      <c r="Q367" s="15"/>
      <c r="R367" s="15">
        <v>920</v>
      </c>
      <c r="S367" s="15">
        <v>5000000</v>
      </c>
      <c r="T367" s="15"/>
      <c r="U367" s="15"/>
      <c r="V367" s="15">
        <v>1500000</v>
      </c>
    </row>
    <row r="368" spans="1:22" ht="12.75" customHeight="1" x14ac:dyDescent="0.2">
      <c r="A368" s="19" t="s">
        <v>57</v>
      </c>
      <c r="B368" s="20"/>
      <c r="C368" s="17"/>
      <c r="D368" s="15"/>
      <c r="E368" s="15"/>
      <c r="F368" s="17"/>
      <c r="G368" s="17"/>
      <c r="H368" s="17"/>
      <c r="I368" s="17"/>
      <c r="J368" s="17"/>
      <c r="K368" s="17"/>
      <c r="L368" s="18"/>
      <c r="M368" s="17"/>
      <c r="N368" s="15"/>
      <c r="O368" s="15"/>
      <c r="P368" s="15"/>
      <c r="Q368" s="15"/>
      <c r="R368" s="15"/>
      <c r="S368" s="15"/>
      <c r="T368" s="15"/>
      <c r="U368" s="15"/>
      <c r="V368" s="15"/>
    </row>
    <row r="369" spans="1:22" ht="12.75" customHeight="1" x14ac:dyDescent="0.2">
      <c r="A369" s="12">
        <v>62</v>
      </c>
      <c r="B369" s="21" t="s">
        <v>408</v>
      </c>
      <c r="C369" s="11">
        <v>6583.42</v>
      </c>
      <c r="D369" s="15">
        <f t="shared" ref="D369:D370" si="53">F369+G369+H369+I369+J369+K369+M369+O369+Q369+S369+U369+V369</f>
        <v>3001750</v>
      </c>
      <c r="E369" s="15">
        <f>D369</f>
        <v>3001750</v>
      </c>
      <c r="F369" s="15"/>
      <c r="G369" s="15"/>
      <c r="H369" s="15"/>
      <c r="I369" s="15"/>
      <c r="J369" s="15"/>
      <c r="K369" s="15"/>
      <c r="L369" s="16"/>
      <c r="M369" s="15"/>
      <c r="N369" s="15">
        <v>821.6</v>
      </c>
      <c r="O369" s="11">
        <v>2650000</v>
      </c>
      <c r="P369" s="15"/>
      <c r="Q369" s="15"/>
      <c r="R369" s="15"/>
      <c r="S369" s="15"/>
      <c r="T369" s="15"/>
      <c r="U369" s="15"/>
      <c r="V369" s="15">
        <v>351750</v>
      </c>
    </row>
    <row r="370" spans="1:22" ht="12.75" customHeight="1" x14ac:dyDescent="0.2">
      <c r="A370" s="12">
        <v>63</v>
      </c>
      <c r="B370" s="21" t="s">
        <v>409</v>
      </c>
      <c r="C370" s="11">
        <v>12237</v>
      </c>
      <c r="D370" s="15">
        <f t="shared" si="53"/>
        <v>4727119</v>
      </c>
      <c r="E370" s="15">
        <f>D370</f>
        <v>4727119</v>
      </c>
      <c r="F370" s="15"/>
      <c r="G370" s="15"/>
      <c r="H370" s="15"/>
      <c r="I370" s="15"/>
      <c r="J370" s="15"/>
      <c r="K370" s="15"/>
      <c r="L370" s="16"/>
      <c r="M370" s="15"/>
      <c r="N370" s="15"/>
      <c r="O370" s="11"/>
      <c r="P370" s="15"/>
      <c r="Q370" s="15"/>
      <c r="R370" s="15">
        <v>3000</v>
      </c>
      <c r="S370" s="15">
        <f>3675000+602994</f>
        <v>4277994</v>
      </c>
      <c r="T370" s="15"/>
      <c r="U370" s="15"/>
      <c r="V370" s="15">
        <v>449125</v>
      </c>
    </row>
    <row r="371" spans="1:22" ht="12.75" customHeight="1" x14ac:dyDescent="0.2">
      <c r="A371" s="19" t="s">
        <v>58</v>
      </c>
      <c r="B371" s="20"/>
      <c r="C371" s="17"/>
      <c r="D371" s="15"/>
      <c r="E371" s="15"/>
      <c r="F371" s="17"/>
      <c r="G371" s="17"/>
      <c r="H371" s="17"/>
      <c r="I371" s="17"/>
      <c r="J371" s="17"/>
      <c r="K371" s="17"/>
      <c r="L371" s="18"/>
      <c r="M371" s="17"/>
      <c r="N371" s="15"/>
      <c r="O371" s="15"/>
      <c r="P371" s="15"/>
      <c r="Q371" s="15"/>
      <c r="R371" s="15"/>
      <c r="S371" s="15"/>
      <c r="T371" s="15"/>
      <c r="U371" s="15"/>
      <c r="V371" s="15"/>
    </row>
    <row r="372" spans="1:22" ht="12.75" customHeight="1" x14ac:dyDescent="0.2">
      <c r="A372" s="12">
        <v>64</v>
      </c>
      <c r="B372" s="21" t="s">
        <v>305</v>
      </c>
      <c r="C372" s="11">
        <v>3972.5</v>
      </c>
      <c r="D372" s="15">
        <f t="shared" ref="D372" si="54">F372+G372+H372+I372+J372+K372+M372+O372+Q372+S372+U372+V372</f>
        <v>14016109.98</v>
      </c>
      <c r="E372" s="15">
        <f>D372</f>
        <v>14016109.98</v>
      </c>
      <c r="F372" s="15"/>
      <c r="G372" s="15"/>
      <c r="H372" s="15"/>
      <c r="I372" s="15"/>
      <c r="J372" s="15"/>
      <c r="K372" s="15"/>
      <c r="L372" s="16"/>
      <c r="M372" s="15"/>
      <c r="N372" s="15">
        <v>1243</v>
      </c>
      <c r="O372" s="15">
        <f>12800100-0.02</f>
        <v>12800099.98</v>
      </c>
      <c r="P372" s="15"/>
      <c r="Q372" s="15"/>
      <c r="R372" s="15"/>
      <c r="S372" s="15"/>
      <c r="T372" s="15"/>
      <c r="U372" s="15"/>
      <c r="V372" s="15">
        <v>1216010</v>
      </c>
    </row>
    <row r="373" spans="1:22" ht="12.75" customHeight="1" x14ac:dyDescent="0.2">
      <c r="A373" s="20"/>
      <c r="B373" s="17"/>
      <c r="C373" s="17">
        <v>337731.14999999997</v>
      </c>
      <c r="D373" s="17">
        <f>SUM(D288:D372)</f>
        <v>1586399957.98</v>
      </c>
      <c r="E373" s="17">
        <f>F373+G373+H373+I373+J373+K373+M373+O373+Q373+S373+U373+V373</f>
        <v>1586399957.98</v>
      </c>
      <c r="F373" s="17">
        <f>SUM(F288:F372)</f>
        <v>38000000</v>
      </c>
      <c r="G373" s="17">
        <f t="shared" ref="G373:V373" si="55">SUM(G288:G372)</f>
        <v>139691000</v>
      </c>
      <c r="H373" s="17">
        <f t="shared" si="55"/>
        <v>0</v>
      </c>
      <c r="I373" s="17">
        <f t="shared" si="55"/>
        <v>0</v>
      </c>
      <c r="J373" s="17">
        <f t="shared" si="55"/>
        <v>95221451</v>
      </c>
      <c r="K373" s="17">
        <f t="shared" si="55"/>
        <v>58811378</v>
      </c>
      <c r="L373" s="29">
        <f t="shared" si="55"/>
        <v>8</v>
      </c>
      <c r="M373" s="17">
        <f t="shared" si="55"/>
        <v>38000000</v>
      </c>
      <c r="N373" s="17">
        <f t="shared" si="55"/>
        <v>63513.070000000007</v>
      </c>
      <c r="O373" s="17">
        <f t="shared" si="55"/>
        <v>627129846.70000005</v>
      </c>
      <c r="P373" s="17">
        <f t="shared" si="55"/>
        <v>1791.9</v>
      </c>
      <c r="Q373" s="17">
        <f t="shared" si="55"/>
        <v>10677522</v>
      </c>
      <c r="R373" s="17">
        <f t="shared" si="55"/>
        <v>79452.959999999977</v>
      </c>
      <c r="S373" s="17">
        <f t="shared" si="55"/>
        <v>445831975.28000003</v>
      </c>
      <c r="T373" s="17">
        <f t="shared" si="55"/>
        <v>337.8</v>
      </c>
      <c r="U373" s="17">
        <f t="shared" si="55"/>
        <v>2200000</v>
      </c>
      <c r="V373" s="17">
        <f t="shared" si="55"/>
        <v>130836785</v>
      </c>
    </row>
    <row r="374" spans="1:22" ht="12.75" customHeight="1" x14ac:dyDescent="0.2">
      <c r="A374" s="43" t="s">
        <v>477</v>
      </c>
      <c r="B374" s="43"/>
      <c r="C374" s="43"/>
      <c r="D374" s="43"/>
      <c r="E374" s="43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</row>
    <row r="375" spans="1:22" ht="12.75" customHeight="1" x14ac:dyDescent="0.2">
      <c r="A375" s="19" t="s">
        <v>9</v>
      </c>
      <c r="B375" s="20"/>
      <c r="C375" s="17"/>
      <c r="D375" s="30"/>
      <c r="E375" s="30"/>
      <c r="F375" s="30"/>
      <c r="G375" s="17"/>
      <c r="H375" s="30"/>
      <c r="I375" s="30"/>
      <c r="J375" s="30"/>
      <c r="K375" s="30"/>
      <c r="L375" s="18"/>
      <c r="M375" s="17"/>
      <c r="N375" s="17"/>
      <c r="O375" s="17"/>
      <c r="P375" s="17"/>
      <c r="Q375" s="17"/>
      <c r="R375" s="17"/>
      <c r="S375" s="17"/>
      <c r="T375" s="17"/>
      <c r="U375" s="17"/>
      <c r="V375" s="17"/>
    </row>
    <row r="376" spans="1:22" ht="12.75" customHeight="1" x14ac:dyDescent="0.2">
      <c r="A376" s="12">
        <v>1</v>
      </c>
      <c r="B376" s="21" t="s">
        <v>242</v>
      </c>
      <c r="C376" s="11">
        <v>15454.88</v>
      </c>
      <c r="D376" s="15">
        <f t="shared" ref="D376" si="56">F376+G376+H376+I376+J376+K376+M376+O376+Q376+S376+U376+V376</f>
        <v>10302010</v>
      </c>
      <c r="E376" s="15">
        <f>D376</f>
        <v>10302010</v>
      </c>
      <c r="F376" s="15"/>
      <c r="G376" s="15"/>
      <c r="H376" s="15"/>
      <c r="I376" s="15"/>
      <c r="J376" s="15"/>
      <c r="K376" s="15"/>
      <c r="L376" s="16"/>
      <c r="M376" s="15"/>
      <c r="N376" s="15">
        <v>2320</v>
      </c>
      <c r="O376" s="15">
        <f>10101000-175000</f>
        <v>9926000</v>
      </c>
      <c r="P376" s="15"/>
      <c r="Q376" s="15"/>
      <c r="R376" s="15"/>
      <c r="S376" s="15"/>
      <c r="T376" s="15"/>
      <c r="U376" s="15"/>
      <c r="V376" s="15">
        <v>376010</v>
      </c>
    </row>
    <row r="377" spans="1:22" ht="12.75" customHeight="1" x14ac:dyDescent="0.2">
      <c r="A377" s="19" t="s">
        <v>10</v>
      </c>
      <c r="B377" s="20"/>
      <c r="C377" s="17"/>
      <c r="D377" s="15"/>
      <c r="E377" s="15"/>
      <c r="F377" s="17"/>
      <c r="G377" s="17"/>
      <c r="H377" s="17"/>
      <c r="I377" s="17"/>
      <c r="J377" s="17"/>
      <c r="K377" s="17"/>
      <c r="L377" s="18"/>
      <c r="M377" s="17"/>
      <c r="N377" s="17"/>
      <c r="O377" s="17"/>
      <c r="P377" s="17"/>
      <c r="Q377" s="17"/>
      <c r="R377" s="17"/>
      <c r="S377" s="17"/>
      <c r="T377" s="17"/>
      <c r="U377" s="17"/>
      <c r="V377" s="15"/>
    </row>
    <row r="378" spans="1:22" ht="12.75" customHeight="1" x14ac:dyDescent="0.2">
      <c r="A378" s="12">
        <v>2</v>
      </c>
      <c r="B378" s="21" t="s">
        <v>243</v>
      </c>
      <c r="C378" s="11">
        <v>1431.6</v>
      </c>
      <c r="D378" s="15">
        <f t="shared" ref="D378" si="57">F378+G378+H378+I378+J378+K378+M378+O378+Q378+S378+U378+V378</f>
        <v>38641499</v>
      </c>
      <c r="E378" s="15">
        <f>D378</f>
        <v>38641499</v>
      </c>
      <c r="F378" s="11">
        <v>6000000</v>
      </c>
      <c r="G378" s="11">
        <v>8000000</v>
      </c>
      <c r="H378" s="11"/>
      <c r="I378" s="11"/>
      <c r="J378" s="11">
        <f>6000000-658000</f>
        <v>5342000</v>
      </c>
      <c r="K378" s="11">
        <v>4500000</v>
      </c>
      <c r="L378" s="13"/>
      <c r="M378" s="11"/>
      <c r="N378" s="11">
        <v>441</v>
      </c>
      <c r="O378" s="11">
        <f>7000000-475000</f>
        <v>6525000</v>
      </c>
      <c r="P378" s="11"/>
      <c r="Q378" s="11"/>
      <c r="R378" s="11">
        <v>1365</v>
      </c>
      <c r="S378" s="11">
        <v>6659900</v>
      </c>
      <c r="T378" s="11"/>
      <c r="U378" s="11"/>
      <c r="V378" s="15">
        <v>1614599</v>
      </c>
    </row>
    <row r="379" spans="1:22" ht="12.75" customHeight="1" x14ac:dyDescent="0.2">
      <c r="A379" s="19" t="s">
        <v>12</v>
      </c>
      <c r="B379" s="20"/>
      <c r="C379" s="17"/>
      <c r="D379" s="15"/>
      <c r="E379" s="15"/>
      <c r="F379" s="17"/>
      <c r="G379" s="17"/>
      <c r="H379" s="17"/>
      <c r="I379" s="17"/>
      <c r="J379" s="17"/>
      <c r="K379" s="17"/>
      <c r="L379" s="18"/>
      <c r="M379" s="17"/>
      <c r="N379" s="17"/>
      <c r="O379" s="17"/>
      <c r="P379" s="17"/>
      <c r="Q379" s="17"/>
      <c r="R379" s="17"/>
      <c r="S379" s="17"/>
      <c r="T379" s="17"/>
      <c r="U379" s="17"/>
      <c r="V379" s="15"/>
    </row>
    <row r="380" spans="1:22" ht="12.75" customHeight="1" x14ac:dyDescent="0.2">
      <c r="A380" s="12">
        <v>3</v>
      </c>
      <c r="B380" s="21" t="s">
        <v>323</v>
      </c>
      <c r="C380" s="11">
        <v>7543.48</v>
      </c>
      <c r="D380" s="15">
        <f t="shared" ref="D380:D390" si="58">F380+G380+H380+I380+J380+K380+M380+O380+Q380+S380+U380+V380</f>
        <v>15502470</v>
      </c>
      <c r="E380" s="15">
        <f t="shared" ref="E380:E390" si="59">D380</f>
        <v>15502470</v>
      </c>
      <c r="F380" s="15"/>
      <c r="G380" s="15">
        <f>7450000-71000-107000</f>
        <v>7272000</v>
      </c>
      <c r="H380" s="15"/>
      <c r="I380" s="15"/>
      <c r="J380" s="15">
        <v>4500000</v>
      </c>
      <c r="K380" s="15">
        <v>3000000</v>
      </c>
      <c r="L380" s="16"/>
      <c r="M380" s="15"/>
      <c r="N380" s="15"/>
      <c r="O380" s="15"/>
      <c r="P380" s="15"/>
      <c r="Q380" s="15"/>
      <c r="R380" s="15"/>
      <c r="S380" s="15"/>
      <c r="T380" s="15"/>
      <c r="U380" s="15"/>
      <c r="V380" s="15">
        <v>730470</v>
      </c>
    </row>
    <row r="381" spans="1:22" ht="12.75" customHeight="1" x14ac:dyDescent="0.2">
      <c r="A381" s="12">
        <v>4</v>
      </c>
      <c r="B381" s="21" t="s">
        <v>466</v>
      </c>
      <c r="C381" s="11">
        <v>8260</v>
      </c>
      <c r="D381" s="15">
        <f t="shared" si="58"/>
        <v>40000000</v>
      </c>
      <c r="E381" s="15">
        <f t="shared" si="59"/>
        <v>40000000</v>
      </c>
      <c r="F381" s="15">
        <v>8000000</v>
      </c>
      <c r="G381" s="15">
        <v>15000000</v>
      </c>
      <c r="H381" s="15"/>
      <c r="I381" s="15"/>
      <c r="J381" s="15">
        <v>9000000</v>
      </c>
      <c r="K381" s="15">
        <v>4700000</v>
      </c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>
        <v>3300000</v>
      </c>
    </row>
    <row r="382" spans="1:22" ht="12.75" customHeight="1" x14ac:dyDescent="0.2">
      <c r="A382" s="12">
        <v>5</v>
      </c>
      <c r="B382" s="21" t="s">
        <v>306</v>
      </c>
      <c r="C382" s="11">
        <v>7890</v>
      </c>
      <c r="D382" s="15">
        <f t="shared" si="58"/>
        <v>12732483</v>
      </c>
      <c r="E382" s="15">
        <f t="shared" si="59"/>
        <v>12732483</v>
      </c>
      <c r="F382" s="15"/>
      <c r="G382" s="15">
        <f>8700000-18000-125000</f>
        <v>8557000</v>
      </c>
      <c r="H382" s="15"/>
      <c r="I382" s="15"/>
      <c r="J382" s="15">
        <v>2000000</v>
      </c>
      <c r="K382" s="15">
        <v>1500000</v>
      </c>
      <c r="L382" s="16"/>
      <c r="M382" s="15"/>
      <c r="N382" s="15"/>
      <c r="O382" s="15"/>
      <c r="P382" s="15"/>
      <c r="Q382" s="15"/>
      <c r="R382" s="15"/>
      <c r="S382" s="15"/>
      <c r="T382" s="15"/>
      <c r="U382" s="15"/>
      <c r="V382" s="15">
        <v>675483</v>
      </c>
    </row>
    <row r="383" spans="1:22" ht="12.75" customHeight="1" x14ac:dyDescent="0.2">
      <c r="A383" s="12">
        <v>6</v>
      </c>
      <c r="B383" s="21" t="s">
        <v>322</v>
      </c>
      <c r="C383" s="11">
        <v>4714</v>
      </c>
      <c r="D383" s="15">
        <f t="shared" si="58"/>
        <v>15545780</v>
      </c>
      <c r="E383" s="15">
        <f t="shared" si="59"/>
        <v>15545780</v>
      </c>
      <c r="F383" s="15"/>
      <c r="G383" s="15">
        <f>7500000-71000-115000</f>
        <v>7314000</v>
      </c>
      <c r="H383" s="15"/>
      <c r="I383" s="15"/>
      <c r="J383" s="15">
        <v>4500000</v>
      </c>
      <c r="K383" s="15">
        <v>3000000</v>
      </c>
      <c r="L383" s="16"/>
      <c r="M383" s="15"/>
      <c r="N383" s="15"/>
      <c r="O383" s="15"/>
      <c r="P383" s="15"/>
      <c r="Q383" s="15"/>
      <c r="R383" s="15"/>
      <c r="S383" s="15"/>
      <c r="T383" s="15"/>
      <c r="U383" s="15"/>
      <c r="V383" s="15">
        <v>731780</v>
      </c>
    </row>
    <row r="384" spans="1:22" ht="12.75" customHeight="1" x14ac:dyDescent="0.2">
      <c r="A384" s="12">
        <v>7</v>
      </c>
      <c r="B384" s="21" t="s">
        <v>467</v>
      </c>
      <c r="C384" s="11">
        <v>7407.5</v>
      </c>
      <c r="D384" s="15">
        <f t="shared" si="58"/>
        <v>28839940</v>
      </c>
      <c r="E384" s="15">
        <f t="shared" si="59"/>
        <v>28839940</v>
      </c>
      <c r="F384" s="15">
        <v>6000000</v>
      </c>
      <c r="G384" s="15">
        <v>12000000</v>
      </c>
      <c r="H384" s="15"/>
      <c r="I384" s="15"/>
      <c r="J384" s="15">
        <v>5000000</v>
      </c>
      <c r="K384" s="15">
        <v>3289940</v>
      </c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>
        <v>2550000</v>
      </c>
    </row>
    <row r="385" spans="1:22" ht="12.75" customHeight="1" x14ac:dyDescent="0.2">
      <c r="A385" s="12">
        <v>8</v>
      </c>
      <c r="B385" s="21" t="s">
        <v>379</v>
      </c>
      <c r="C385" s="11">
        <v>1626</v>
      </c>
      <c r="D385" s="15">
        <f t="shared" si="58"/>
        <v>45000000</v>
      </c>
      <c r="E385" s="15">
        <f t="shared" si="59"/>
        <v>45000000</v>
      </c>
      <c r="F385" s="15">
        <v>6000000</v>
      </c>
      <c r="G385" s="15">
        <v>9000000</v>
      </c>
      <c r="H385" s="15"/>
      <c r="I385" s="15"/>
      <c r="J385" s="15">
        <v>5000000</v>
      </c>
      <c r="K385" s="15">
        <v>4000000</v>
      </c>
      <c r="L385" s="15"/>
      <c r="M385" s="15"/>
      <c r="N385" s="15">
        <v>532</v>
      </c>
      <c r="O385" s="15">
        <v>8000000</v>
      </c>
      <c r="P385" s="15">
        <v>360</v>
      </c>
      <c r="Q385" s="15">
        <v>2000000</v>
      </c>
      <c r="R385" s="15">
        <v>3050</v>
      </c>
      <c r="S385" s="15">
        <v>7400000</v>
      </c>
      <c r="T385" s="15"/>
      <c r="U385" s="15"/>
      <c r="V385" s="15">
        <v>3600000</v>
      </c>
    </row>
    <row r="386" spans="1:22" ht="12.75" customHeight="1" x14ac:dyDescent="0.2">
      <c r="A386" s="12">
        <v>9</v>
      </c>
      <c r="B386" s="21" t="s">
        <v>327</v>
      </c>
      <c r="C386" s="11">
        <v>6745.2</v>
      </c>
      <c r="D386" s="15">
        <f t="shared" si="58"/>
        <v>25350000</v>
      </c>
      <c r="E386" s="15">
        <f t="shared" si="59"/>
        <v>25350000</v>
      </c>
      <c r="F386" s="15"/>
      <c r="G386" s="15">
        <v>6500000</v>
      </c>
      <c r="H386" s="15"/>
      <c r="I386" s="15"/>
      <c r="J386" s="15">
        <v>4000000</v>
      </c>
      <c r="K386" s="15">
        <v>2500000</v>
      </c>
      <c r="L386" s="16"/>
      <c r="M386" s="15"/>
      <c r="N386" s="15">
        <v>1001</v>
      </c>
      <c r="O386" s="15">
        <f>12000000-286000-432000</f>
        <v>11282000</v>
      </c>
      <c r="P386" s="15"/>
      <c r="Q386" s="15"/>
      <c r="R386" s="15"/>
      <c r="S386" s="15"/>
      <c r="T386" s="15"/>
      <c r="U386" s="15"/>
      <c r="V386" s="15">
        <v>1068000</v>
      </c>
    </row>
    <row r="387" spans="1:22" ht="12.75" customHeight="1" x14ac:dyDescent="0.2">
      <c r="A387" s="12">
        <v>10</v>
      </c>
      <c r="B387" s="21" t="s">
        <v>244</v>
      </c>
      <c r="C387" s="11">
        <v>5625.2</v>
      </c>
      <c r="D387" s="15">
        <f t="shared" si="58"/>
        <v>28582000</v>
      </c>
      <c r="E387" s="15">
        <f t="shared" si="59"/>
        <v>28582000</v>
      </c>
      <c r="F387" s="15"/>
      <c r="G387" s="15">
        <v>9200000</v>
      </c>
      <c r="H387" s="15"/>
      <c r="I387" s="15"/>
      <c r="J387" s="15">
        <v>4500000</v>
      </c>
      <c r="K387" s="15">
        <v>2500000</v>
      </c>
      <c r="L387" s="16"/>
      <c r="M387" s="15"/>
      <c r="N387" s="15">
        <v>966</v>
      </c>
      <c r="O387" s="15">
        <f>12000000-264000-487000</f>
        <v>11249000</v>
      </c>
      <c r="P387" s="15"/>
      <c r="Q387" s="15"/>
      <c r="R387" s="15"/>
      <c r="S387" s="15"/>
      <c r="T387" s="15"/>
      <c r="U387" s="15"/>
      <c r="V387" s="15">
        <v>1133000</v>
      </c>
    </row>
    <row r="388" spans="1:22" ht="12.75" customHeight="1" x14ac:dyDescent="0.2">
      <c r="A388" s="12">
        <v>11</v>
      </c>
      <c r="B388" s="21" t="s">
        <v>410</v>
      </c>
      <c r="C388" s="11">
        <v>4750.5</v>
      </c>
      <c r="D388" s="15">
        <f t="shared" si="58"/>
        <v>23895000</v>
      </c>
      <c r="E388" s="15">
        <f t="shared" si="59"/>
        <v>23895000</v>
      </c>
      <c r="F388" s="15">
        <f>5000000-254000</f>
        <v>4746000</v>
      </c>
      <c r="G388" s="15">
        <f>10000000-389000</f>
        <v>9611000</v>
      </c>
      <c r="H388" s="15"/>
      <c r="I388" s="15"/>
      <c r="J388" s="15">
        <v>4500000</v>
      </c>
      <c r="K388" s="15">
        <v>4000000</v>
      </c>
      <c r="L388" s="16"/>
      <c r="M388" s="15"/>
      <c r="N388" s="15"/>
      <c r="O388" s="15"/>
      <c r="P388" s="15"/>
      <c r="Q388" s="15"/>
      <c r="R388" s="15"/>
      <c r="S388" s="15"/>
      <c r="T388" s="15"/>
      <c r="U388" s="15"/>
      <c r="V388" s="15">
        <v>1038000</v>
      </c>
    </row>
    <row r="389" spans="1:22" ht="12.75" customHeight="1" x14ac:dyDescent="0.2">
      <c r="A389" s="12">
        <v>12</v>
      </c>
      <c r="B389" s="21" t="s">
        <v>36</v>
      </c>
      <c r="C389" s="11">
        <v>4867.5</v>
      </c>
      <c r="D389" s="15">
        <f t="shared" si="58"/>
        <v>17270000</v>
      </c>
      <c r="E389" s="15">
        <f t="shared" si="59"/>
        <v>17270000</v>
      </c>
      <c r="F389" s="15"/>
      <c r="G389" s="15">
        <v>5000000</v>
      </c>
      <c r="H389" s="15"/>
      <c r="I389" s="15"/>
      <c r="J389" s="15">
        <v>2500000</v>
      </c>
      <c r="K389" s="15">
        <v>1500000</v>
      </c>
      <c r="L389" s="16"/>
      <c r="M389" s="15"/>
      <c r="N389" s="15">
        <v>569</v>
      </c>
      <c r="O389" s="15">
        <f>8000000-342000-300000</f>
        <v>7358000</v>
      </c>
      <c r="P389" s="15"/>
      <c r="Q389" s="15"/>
      <c r="R389" s="15"/>
      <c r="S389" s="15"/>
      <c r="T389" s="15"/>
      <c r="U389" s="15"/>
      <c r="V389" s="15">
        <v>912000</v>
      </c>
    </row>
    <row r="390" spans="1:22" ht="12.75" customHeight="1" x14ac:dyDescent="0.2">
      <c r="A390" s="12">
        <v>13</v>
      </c>
      <c r="B390" s="21" t="s">
        <v>378</v>
      </c>
      <c r="C390" s="11">
        <v>3451</v>
      </c>
      <c r="D390" s="15">
        <f t="shared" si="58"/>
        <v>60000000</v>
      </c>
      <c r="E390" s="15">
        <f t="shared" si="59"/>
        <v>60000000</v>
      </c>
      <c r="F390" s="15">
        <v>8025000</v>
      </c>
      <c r="G390" s="15">
        <v>10000000</v>
      </c>
      <c r="H390" s="15"/>
      <c r="I390" s="15"/>
      <c r="J390" s="15">
        <v>5000000</v>
      </c>
      <c r="K390" s="15">
        <v>4000000</v>
      </c>
      <c r="L390" s="15"/>
      <c r="M390" s="15"/>
      <c r="N390" s="15">
        <v>647</v>
      </c>
      <c r="O390" s="15">
        <v>9000000</v>
      </c>
      <c r="P390" s="15">
        <v>429</v>
      </c>
      <c r="Q390" s="15">
        <v>3000000</v>
      </c>
      <c r="R390" s="15">
        <v>1800</v>
      </c>
      <c r="S390" s="15">
        <v>15000000</v>
      </c>
      <c r="T390" s="15"/>
      <c r="U390" s="15"/>
      <c r="V390" s="15">
        <v>5975000</v>
      </c>
    </row>
    <row r="391" spans="1:22" ht="12.75" customHeight="1" x14ac:dyDescent="0.2">
      <c r="A391" s="19" t="s">
        <v>210</v>
      </c>
      <c r="B391" s="20"/>
      <c r="C391" s="17"/>
      <c r="D391" s="15"/>
      <c r="E391" s="15"/>
      <c r="F391" s="17"/>
      <c r="G391" s="17"/>
      <c r="H391" s="17"/>
      <c r="I391" s="17"/>
      <c r="J391" s="17"/>
      <c r="K391" s="17"/>
      <c r="L391" s="18"/>
      <c r="M391" s="17"/>
      <c r="N391" s="17"/>
      <c r="O391" s="17"/>
      <c r="P391" s="17"/>
      <c r="Q391" s="17"/>
      <c r="R391" s="17"/>
      <c r="S391" s="17"/>
      <c r="T391" s="17"/>
      <c r="U391" s="17"/>
      <c r="V391" s="15"/>
    </row>
    <row r="392" spans="1:22" ht="12.75" customHeight="1" x14ac:dyDescent="0.2">
      <c r="A392" s="19" t="s">
        <v>211</v>
      </c>
      <c r="B392" s="20"/>
      <c r="C392" s="17"/>
      <c r="D392" s="15"/>
      <c r="E392" s="15"/>
      <c r="F392" s="17"/>
      <c r="G392" s="17"/>
      <c r="H392" s="17"/>
      <c r="I392" s="17"/>
      <c r="J392" s="17"/>
      <c r="K392" s="17"/>
      <c r="L392" s="18"/>
      <c r="M392" s="15"/>
      <c r="N392" s="15"/>
      <c r="O392" s="15"/>
      <c r="P392" s="15"/>
      <c r="Q392" s="15"/>
      <c r="R392" s="15"/>
      <c r="S392" s="15"/>
      <c r="T392" s="15"/>
      <c r="U392" s="15"/>
      <c r="V392" s="15"/>
    </row>
    <row r="393" spans="1:22" ht="12.75" customHeight="1" x14ac:dyDescent="0.2">
      <c r="A393" s="12">
        <v>14</v>
      </c>
      <c r="B393" s="21" t="s">
        <v>245</v>
      </c>
      <c r="C393" s="11">
        <v>2746.93</v>
      </c>
      <c r="D393" s="15">
        <f t="shared" ref="D393" si="60">F393+G393+H393+I393+J393+K393+M393+O393+Q393+S393+U393+V393</f>
        <v>37845734</v>
      </c>
      <c r="E393" s="15">
        <f>D393</f>
        <v>37845734</v>
      </c>
      <c r="F393" s="11">
        <v>4000000</v>
      </c>
      <c r="G393" s="11">
        <v>5300170</v>
      </c>
      <c r="H393" s="11"/>
      <c r="I393" s="11"/>
      <c r="J393" s="11">
        <v>7114845</v>
      </c>
      <c r="K393" s="11">
        <v>8672045</v>
      </c>
      <c r="L393" s="13"/>
      <c r="M393" s="15"/>
      <c r="N393" s="15">
        <v>932.81</v>
      </c>
      <c r="O393" s="15">
        <f>12594510-577000-716000</f>
        <v>11301510</v>
      </c>
      <c r="P393" s="11"/>
      <c r="Q393" s="15"/>
      <c r="R393" s="15"/>
      <c r="S393" s="15"/>
      <c r="T393" s="15"/>
      <c r="U393" s="15"/>
      <c r="V393" s="15">
        <v>1457164</v>
      </c>
    </row>
    <row r="394" spans="1:22" ht="12.75" customHeight="1" x14ac:dyDescent="0.2">
      <c r="A394" s="19" t="s">
        <v>75</v>
      </c>
      <c r="B394" s="20"/>
      <c r="C394" s="17"/>
      <c r="D394" s="15"/>
      <c r="E394" s="15"/>
      <c r="F394" s="17"/>
      <c r="G394" s="17"/>
      <c r="H394" s="17"/>
      <c r="I394" s="17"/>
      <c r="J394" s="17"/>
      <c r="K394" s="17"/>
      <c r="L394" s="16"/>
      <c r="M394" s="15"/>
      <c r="N394" s="15"/>
      <c r="O394" s="15"/>
      <c r="P394" s="15"/>
      <c r="Q394" s="15"/>
      <c r="R394" s="15"/>
      <c r="S394" s="15"/>
      <c r="T394" s="15"/>
      <c r="U394" s="15"/>
      <c r="V394" s="15"/>
    </row>
    <row r="395" spans="1:22" ht="12.75" customHeight="1" x14ac:dyDescent="0.2">
      <c r="A395" s="12">
        <v>15</v>
      </c>
      <c r="B395" s="21" t="s">
        <v>246</v>
      </c>
      <c r="C395" s="11">
        <v>4465.95</v>
      </c>
      <c r="D395" s="15">
        <f t="shared" ref="D395" si="61">F395+G395+H395+I395+J395+K395+M395+O395+Q395+S395+U395+V395</f>
        <v>19933399</v>
      </c>
      <c r="E395" s="15">
        <f>D395</f>
        <v>19933399</v>
      </c>
      <c r="F395" s="11"/>
      <c r="G395" s="11">
        <v>6314600</v>
      </c>
      <c r="H395" s="11"/>
      <c r="I395" s="11"/>
      <c r="J395" s="11">
        <v>5165820</v>
      </c>
      <c r="K395" s="11">
        <f>8215500-283000-298000</f>
        <v>7634500</v>
      </c>
      <c r="L395" s="13"/>
      <c r="M395" s="15"/>
      <c r="N395" s="15"/>
      <c r="O395" s="15"/>
      <c r="P395" s="11"/>
      <c r="Q395" s="15"/>
      <c r="R395" s="15"/>
      <c r="S395" s="15"/>
      <c r="T395" s="15"/>
      <c r="U395" s="15"/>
      <c r="V395" s="15">
        <v>818479</v>
      </c>
    </row>
    <row r="396" spans="1:22" ht="12.75" customHeight="1" x14ac:dyDescent="0.2">
      <c r="A396" s="19" t="s">
        <v>19</v>
      </c>
      <c r="B396" s="20"/>
      <c r="C396" s="17"/>
      <c r="D396" s="15"/>
      <c r="E396" s="15"/>
      <c r="F396" s="17"/>
      <c r="G396" s="17"/>
      <c r="H396" s="17"/>
      <c r="I396" s="17"/>
      <c r="J396" s="17"/>
      <c r="K396" s="17"/>
      <c r="L396" s="18"/>
      <c r="M396" s="17"/>
      <c r="N396" s="17"/>
      <c r="O396" s="17"/>
      <c r="P396" s="17"/>
      <c r="Q396" s="17"/>
      <c r="R396" s="17"/>
      <c r="S396" s="17"/>
      <c r="T396" s="17"/>
      <c r="U396" s="17"/>
      <c r="V396" s="15"/>
    </row>
    <row r="397" spans="1:22" ht="12.75" customHeight="1" x14ac:dyDescent="0.2">
      <c r="A397" s="12">
        <v>16</v>
      </c>
      <c r="B397" s="21" t="s">
        <v>247</v>
      </c>
      <c r="C397" s="11">
        <v>2737.23</v>
      </c>
      <c r="D397" s="15">
        <f t="shared" ref="D397:D402" si="62">F397+G397+H397+I397+J397+K397+M397+O397+Q397+S397+U397+V397</f>
        <v>14198000</v>
      </c>
      <c r="E397" s="15">
        <f t="shared" ref="E397:E402" si="63">D397</f>
        <v>14198000</v>
      </c>
      <c r="F397" s="15"/>
      <c r="G397" s="15">
        <f>3000000-200000</f>
        <v>2800000</v>
      </c>
      <c r="H397" s="15"/>
      <c r="I397" s="15"/>
      <c r="J397" s="15">
        <v>2000000</v>
      </c>
      <c r="K397" s="15">
        <v>2000000</v>
      </c>
      <c r="L397" s="16"/>
      <c r="M397" s="15"/>
      <c r="N397" s="11">
        <v>900</v>
      </c>
      <c r="O397" s="11">
        <f>7000000-200000-240000</f>
        <v>6560000</v>
      </c>
      <c r="P397" s="11"/>
      <c r="Q397" s="15"/>
      <c r="R397" s="15"/>
      <c r="S397" s="15"/>
      <c r="T397" s="15"/>
      <c r="U397" s="15"/>
      <c r="V397" s="15">
        <v>838000</v>
      </c>
    </row>
    <row r="398" spans="1:22" ht="12.75" customHeight="1" x14ac:dyDescent="0.2">
      <c r="A398" s="12">
        <v>17</v>
      </c>
      <c r="B398" s="21" t="s">
        <v>248</v>
      </c>
      <c r="C398" s="11">
        <v>2580.4699999999998</v>
      </c>
      <c r="D398" s="15">
        <f t="shared" si="62"/>
        <v>14198000</v>
      </c>
      <c r="E398" s="15">
        <f t="shared" si="63"/>
        <v>14198000</v>
      </c>
      <c r="F398" s="15"/>
      <c r="G398" s="15">
        <f>3000000-200000</f>
        <v>2800000</v>
      </c>
      <c r="H398" s="15"/>
      <c r="I398" s="15"/>
      <c r="J398" s="15">
        <v>2000000</v>
      </c>
      <c r="K398" s="15">
        <v>2000000</v>
      </c>
      <c r="L398" s="16"/>
      <c r="M398" s="15"/>
      <c r="N398" s="11">
        <v>900</v>
      </c>
      <c r="O398" s="11">
        <f>7000000-200000-240000</f>
        <v>6560000</v>
      </c>
      <c r="P398" s="11"/>
      <c r="Q398" s="15"/>
      <c r="R398" s="15"/>
      <c r="S398" s="15"/>
      <c r="T398" s="15"/>
      <c r="U398" s="15"/>
      <c r="V398" s="15">
        <v>838000</v>
      </c>
    </row>
    <row r="399" spans="1:22" ht="12.75" customHeight="1" x14ac:dyDescent="0.2">
      <c r="A399" s="12">
        <v>18</v>
      </c>
      <c r="B399" s="21" t="s">
        <v>249</v>
      </c>
      <c r="C399" s="11">
        <v>3930.8</v>
      </c>
      <c r="D399" s="15">
        <f t="shared" si="62"/>
        <v>12184000</v>
      </c>
      <c r="E399" s="15">
        <f t="shared" si="63"/>
        <v>12184000</v>
      </c>
      <c r="F399" s="15"/>
      <c r="G399" s="15">
        <v>2000000</v>
      </c>
      <c r="H399" s="15"/>
      <c r="I399" s="15"/>
      <c r="J399" s="15">
        <v>2000000</v>
      </c>
      <c r="K399" s="15">
        <v>2000000</v>
      </c>
      <c r="L399" s="16"/>
      <c r="M399" s="15"/>
      <c r="N399" s="11"/>
      <c r="O399" s="11"/>
      <c r="P399" s="11"/>
      <c r="Q399" s="15"/>
      <c r="R399" s="15"/>
      <c r="S399" s="15"/>
      <c r="T399" s="15">
        <v>2400</v>
      </c>
      <c r="U399" s="15">
        <f>6000000-427000-193000</f>
        <v>5380000</v>
      </c>
      <c r="V399" s="15">
        <v>804000</v>
      </c>
    </row>
    <row r="400" spans="1:22" ht="12.75" customHeight="1" x14ac:dyDescent="0.2">
      <c r="A400" s="12">
        <v>19</v>
      </c>
      <c r="B400" s="21" t="s">
        <v>250</v>
      </c>
      <c r="C400" s="11">
        <v>1513.14</v>
      </c>
      <c r="D400" s="15">
        <f t="shared" si="62"/>
        <v>7149000</v>
      </c>
      <c r="E400" s="15">
        <f t="shared" si="63"/>
        <v>7149000</v>
      </c>
      <c r="F400" s="15"/>
      <c r="G400" s="15">
        <v>1000000</v>
      </c>
      <c r="H400" s="15"/>
      <c r="I400" s="15"/>
      <c r="J400" s="15">
        <v>1000000</v>
      </c>
      <c r="K400" s="15">
        <v>1000000</v>
      </c>
      <c r="L400" s="16"/>
      <c r="M400" s="15"/>
      <c r="N400" s="15">
        <v>513.1</v>
      </c>
      <c r="O400" s="15">
        <f>4000000-400000-92000</f>
        <v>3508000</v>
      </c>
      <c r="P400" s="11"/>
      <c r="Q400" s="15"/>
      <c r="R400" s="15"/>
      <c r="S400" s="15"/>
      <c r="T400" s="15"/>
      <c r="U400" s="15"/>
      <c r="V400" s="15">
        <v>641000</v>
      </c>
    </row>
    <row r="401" spans="1:22" ht="12.75" customHeight="1" x14ac:dyDescent="0.2">
      <c r="A401" s="12">
        <v>20</v>
      </c>
      <c r="B401" s="21" t="s">
        <v>251</v>
      </c>
      <c r="C401" s="11">
        <v>6151.38</v>
      </c>
      <c r="D401" s="15">
        <f t="shared" si="62"/>
        <v>19233000</v>
      </c>
      <c r="E401" s="15">
        <f t="shared" si="63"/>
        <v>19233000</v>
      </c>
      <c r="F401" s="11"/>
      <c r="G401" s="11">
        <f>4000000-100000</f>
        <v>3900000</v>
      </c>
      <c r="H401" s="11"/>
      <c r="I401" s="11"/>
      <c r="J401" s="11">
        <v>3900000</v>
      </c>
      <c r="K401" s="11">
        <v>3900000</v>
      </c>
      <c r="L401" s="13"/>
      <c r="M401" s="11"/>
      <c r="N401" s="11">
        <v>2292</v>
      </c>
      <c r="O401" s="11">
        <f>7000000-100000-284000</f>
        <v>6616000</v>
      </c>
      <c r="P401" s="11"/>
      <c r="Q401" s="15"/>
      <c r="R401" s="15"/>
      <c r="S401" s="15"/>
      <c r="T401" s="15"/>
      <c r="U401" s="15"/>
      <c r="V401" s="15">
        <v>917000</v>
      </c>
    </row>
    <row r="402" spans="1:22" ht="12.75" customHeight="1" x14ac:dyDescent="0.2">
      <c r="A402" s="12">
        <v>21</v>
      </c>
      <c r="B402" s="21" t="s">
        <v>252</v>
      </c>
      <c r="C402" s="11">
        <v>3038.5</v>
      </c>
      <c r="D402" s="15">
        <f t="shared" si="62"/>
        <v>10673500</v>
      </c>
      <c r="E402" s="15">
        <f t="shared" si="63"/>
        <v>10673500</v>
      </c>
      <c r="F402" s="11"/>
      <c r="G402" s="11">
        <f>2000000-100000</f>
        <v>1900000</v>
      </c>
      <c r="H402" s="11"/>
      <c r="I402" s="11"/>
      <c r="J402" s="11">
        <v>1900000</v>
      </c>
      <c r="K402" s="11">
        <v>1900000</v>
      </c>
      <c r="L402" s="13"/>
      <c r="M402" s="11"/>
      <c r="N402" s="11">
        <v>883</v>
      </c>
      <c r="O402" s="11">
        <f>4500000-100000-163000</f>
        <v>4237000</v>
      </c>
      <c r="P402" s="11"/>
      <c r="Q402" s="15"/>
      <c r="R402" s="15"/>
      <c r="S402" s="15"/>
      <c r="T402" s="15"/>
      <c r="U402" s="15"/>
      <c r="V402" s="15">
        <v>736500</v>
      </c>
    </row>
    <row r="403" spans="1:22" ht="12.75" customHeight="1" x14ac:dyDescent="0.2">
      <c r="A403" s="19" t="s">
        <v>26</v>
      </c>
      <c r="B403" s="20"/>
      <c r="C403" s="17"/>
      <c r="D403" s="15"/>
      <c r="E403" s="15"/>
      <c r="F403" s="17"/>
      <c r="G403" s="17"/>
      <c r="H403" s="17"/>
      <c r="I403" s="17"/>
      <c r="J403" s="17"/>
      <c r="K403" s="17"/>
      <c r="L403" s="18"/>
      <c r="M403" s="17"/>
      <c r="N403" s="17"/>
      <c r="O403" s="17"/>
      <c r="P403" s="17"/>
      <c r="Q403" s="17"/>
      <c r="R403" s="17"/>
      <c r="S403" s="17"/>
      <c r="T403" s="17"/>
      <c r="U403" s="17"/>
      <c r="V403" s="15"/>
    </row>
    <row r="404" spans="1:22" ht="12.75" customHeight="1" x14ac:dyDescent="0.2">
      <c r="A404" s="12">
        <v>22</v>
      </c>
      <c r="B404" s="21" t="s">
        <v>253</v>
      </c>
      <c r="C404" s="11">
        <v>5981.59</v>
      </c>
      <c r="D404" s="15">
        <f t="shared" ref="D404:D406" si="64">F404+G404+H404+I404+J404+K404+M404+O404+Q404+S404+U404+V404</f>
        <v>78609945</v>
      </c>
      <c r="E404" s="15">
        <f>D404</f>
        <v>78609945</v>
      </c>
      <c r="F404" s="15"/>
      <c r="G404" s="15"/>
      <c r="H404" s="11"/>
      <c r="I404" s="11"/>
      <c r="J404" s="15">
        <v>5300000</v>
      </c>
      <c r="K404" s="11">
        <f>J404</f>
        <v>5300000</v>
      </c>
      <c r="L404" s="11"/>
      <c r="M404" s="11"/>
      <c r="N404" s="15">
        <v>3000.66</v>
      </c>
      <c r="O404" s="11">
        <v>29602111</v>
      </c>
      <c r="P404" s="15"/>
      <c r="Q404" s="11"/>
      <c r="R404" s="15">
        <v>5056</v>
      </c>
      <c r="S404" s="11">
        <v>29602111</v>
      </c>
      <c r="T404" s="15"/>
      <c r="U404" s="15"/>
      <c r="V404" s="15">
        <v>8805723</v>
      </c>
    </row>
    <row r="405" spans="1:22" ht="12.75" customHeight="1" x14ac:dyDescent="0.2">
      <c r="A405" s="12">
        <v>23</v>
      </c>
      <c r="B405" s="21" t="s">
        <v>254</v>
      </c>
      <c r="C405" s="11">
        <v>1557.79</v>
      </c>
      <c r="D405" s="15">
        <f t="shared" si="64"/>
        <v>19959106</v>
      </c>
      <c r="E405" s="15">
        <f>D405</f>
        <v>19959106</v>
      </c>
      <c r="F405" s="15"/>
      <c r="G405" s="15"/>
      <c r="H405" s="11"/>
      <c r="I405" s="11"/>
      <c r="J405" s="15">
        <v>1100000</v>
      </c>
      <c r="K405" s="15">
        <v>1100000</v>
      </c>
      <c r="L405" s="11"/>
      <c r="M405" s="11"/>
      <c r="N405" s="15">
        <v>579.5</v>
      </c>
      <c r="O405" s="11">
        <v>7709300</v>
      </c>
      <c r="P405" s="15"/>
      <c r="Q405" s="11"/>
      <c r="R405" s="15">
        <v>1163.45</v>
      </c>
      <c r="S405" s="11">
        <v>7709300</v>
      </c>
      <c r="T405" s="15"/>
      <c r="U405" s="15"/>
      <c r="V405" s="15">
        <v>2340506</v>
      </c>
    </row>
    <row r="406" spans="1:22" ht="12.75" customHeight="1" x14ac:dyDescent="0.2">
      <c r="A406" s="12">
        <v>24</v>
      </c>
      <c r="B406" s="21" t="s">
        <v>255</v>
      </c>
      <c r="C406" s="11">
        <v>1580.05</v>
      </c>
      <c r="D406" s="15">
        <f t="shared" si="64"/>
        <v>20206718</v>
      </c>
      <c r="E406" s="15">
        <f>D406</f>
        <v>20206718</v>
      </c>
      <c r="F406" s="15"/>
      <c r="G406" s="15"/>
      <c r="H406" s="11"/>
      <c r="I406" s="11"/>
      <c r="J406" s="15">
        <v>1100000</v>
      </c>
      <c r="K406" s="15">
        <v>1100000</v>
      </c>
      <c r="L406" s="11"/>
      <c r="M406" s="11"/>
      <c r="N406" s="15">
        <v>535.20000000000005</v>
      </c>
      <c r="O406" s="11">
        <v>7819462</v>
      </c>
      <c r="P406" s="15"/>
      <c r="Q406" s="11"/>
      <c r="R406" s="15">
        <v>1109.56</v>
      </c>
      <c r="S406" s="11">
        <v>7819462</v>
      </c>
      <c r="T406" s="15"/>
      <c r="U406" s="15"/>
      <c r="V406" s="15">
        <v>2367794</v>
      </c>
    </row>
    <row r="407" spans="1:22" ht="12.75" customHeight="1" x14ac:dyDescent="0.2">
      <c r="A407" s="19" t="s">
        <v>27</v>
      </c>
      <c r="B407" s="20"/>
      <c r="C407" s="17"/>
      <c r="D407" s="15"/>
      <c r="E407" s="15"/>
      <c r="F407" s="17"/>
      <c r="G407" s="17"/>
      <c r="H407" s="17"/>
      <c r="I407" s="17"/>
      <c r="J407" s="17"/>
      <c r="K407" s="17"/>
      <c r="L407" s="18"/>
      <c r="M407" s="17"/>
      <c r="N407" s="17"/>
      <c r="O407" s="17"/>
      <c r="P407" s="17"/>
      <c r="Q407" s="17"/>
      <c r="R407" s="17"/>
      <c r="S407" s="17"/>
      <c r="T407" s="17"/>
      <c r="U407" s="17"/>
      <c r="V407" s="15"/>
    </row>
    <row r="408" spans="1:22" s="3" customFormat="1" ht="12.75" customHeight="1" x14ac:dyDescent="0.25">
      <c r="A408" s="12">
        <v>25</v>
      </c>
      <c r="B408" s="21" t="s">
        <v>313</v>
      </c>
      <c r="C408" s="11">
        <v>4882.8999999999996</v>
      </c>
      <c r="D408" s="15">
        <f t="shared" ref="D408:D409" si="65">F408+G408+H408+I408+J408+K408+M408+O408+Q408+S408+U408+V408</f>
        <v>19072681</v>
      </c>
      <c r="E408" s="15">
        <f>D408</f>
        <v>19072681</v>
      </c>
      <c r="F408" s="15"/>
      <c r="G408" s="15"/>
      <c r="H408" s="15"/>
      <c r="I408" s="15"/>
      <c r="J408" s="15"/>
      <c r="K408" s="15"/>
      <c r="L408" s="16"/>
      <c r="M408" s="15"/>
      <c r="N408" s="15"/>
      <c r="O408" s="15"/>
      <c r="P408" s="15"/>
      <c r="Q408" s="15"/>
      <c r="R408" s="15">
        <v>4320</v>
      </c>
      <c r="S408" s="15">
        <v>16771991</v>
      </c>
      <c r="T408" s="15"/>
      <c r="U408" s="15"/>
      <c r="V408" s="15">
        <v>2300690</v>
      </c>
    </row>
    <row r="409" spans="1:22" s="3" customFormat="1" ht="12.75" customHeight="1" x14ac:dyDescent="0.25">
      <c r="A409" s="12">
        <v>26</v>
      </c>
      <c r="B409" s="21" t="s">
        <v>314</v>
      </c>
      <c r="C409" s="11">
        <v>8331.2999999999993</v>
      </c>
      <c r="D409" s="15">
        <f t="shared" si="65"/>
        <v>18395689</v>
      </c>
      <c r="E409" s="15">
        <f>D409</f>
        <v>18395689</v>
      </c>
      <c r="F409" s="15"/>
      <c r="G409" s="15"/>
      <c r="H409" s="15"/>
      <c r="I409" s="15"/>
      <c r="J409" s="15"/>
      <c r="K409" s="15"/>
      <c r="L409" s="16"/>
      <c r="M409" s="15"/>
      <c r="N409" s="15"/>
      <c r="O409" s="15"/>
      <c r="P409" s="15"/>
      <c r="Q409" s="15"/>
      <c r="R409" s="15">
        <v>4200</v>
      </c>
      <c r="S409" s="15">
        <v>16095000</v>
      </c>
      <c r="T409" s="15"/>
      <c r="U409" s="15"/>
      <c r="V409" s="15">
        <v>2300689</v>
      </c>
    </row>
    <row r="410" spans="1:22" ht="12.75" customHeight="1" x14ac:dyDescent="0.2">
      <c r="A410" s="19" t="s">
        <v>28</v>
      </c>
      <c r="B410" s="20"/>
      <c r="C410" s="17"/>
      <c r="D410" s="15"/>
      <c r="E410" s="15"/>
      <c r="F410" s="17"/>
      <c r="G410" s="17"/>
      <c r="H410" s="17"/>
      <c r="I410" s="17"/>
      <c r="J410" s="17"/>
      <c r="K410" s="17"/>
      <c r="L410" s="18"/>
      <c r="M410" s="17"/>
      <c r="N410" s="17"/>
      <c r="O410" s="17"/>
      <c r="P410" s="17"/>
      <c r="Q410" s="17"/>
      <c r="R410" s="17"/>
      <c r="S410" s="17"/>
      <c r="T410" s="17"/>
      <c r="U410" s="17"/>
      <c r="V410" s="15"/>
    </row>
    <row r="411" spans="1:22" ht="12.75" customHeight="1" x14ac:dyDescent="0.2">
      <c r="A411" s="14">
        <v>27</v>
      </c>
      <c r="B411" s="22" t="s">
        <v>94</v>
      </c>
      <c r="C411" s="15">
        <v>2085</v>
      </c>
      <c r="D411" s="15">
        <f t="shared" ref="D411:D417" si="66">F411+G411+H411+I411+J411+K411+M411+O411+Q411+S411+U411+V411</f>
        <v>72228757.650000006</v>
      </c>
      <c r="E411" s="15">
        <f t="shared" ref="E411:E417" si="67">D411</f>
        <v>72228757.650000006</v>
      </c>
      <c r="F411" s="26">
        <v>7781606.0499999998</v>
      </c>
      <c r="G411" s="26">
        <v>10000000</v>
      </c>
      <c r="H411" s="15"/>
      <c r="I411" s="15"/>
      <c r="J411" s="26">
        <v>10318393.949999999</v>
      </c>
      <c r="K411" s="26">
        <v>8059323.7999999998</v>
      </c>
      <c r="L411" s="16"/>
      <c r="M411" s="15"/>
      <c r="N411" s="26">
        <v>980</v>
      </c>
      <c r="O411" s="26">
        <v>10318393.949999999</v>
      </c>
      <c r="P411" s="26">
        <v>760</v>
      </c>
      <c r="Q411" s="26">
        <v>10318393.949999999</v>
      </c>
      <c r="R411" s="26">
        <v>2556</v>
      </c>
      <c r="S411" s="26">
        <v>10318393.949999999</v>
      </c>
      <c r="T411" s="15"/>
      <c r="U411" s="15"/>
      <c r="V411" s="15">
        <v>5114252</v>
      </c>
    </row>
    <row r="412" spans="1:22" ht="12.75" customHeight="1" x14ac:dyDescent="0.2">
      <c r="A412" s="14">
        <v>28</v>
      </c>
      <c r="B412" s="22" t="s">
        <v>95</v>
      </c>
      <c r="C412" s="15">
        <v>7204</v>
      </c>
      <c r="D412" s="15">
        <f t="shared" si="66"/>
        <v>33762086</v>
      </c>
      <c r="E412" s="15">
        <f t="shared" si="67"/>
        <v>33762086</v>
      </c>
      <c r="F412" s="26">
        <v>6000000</v>
      </c>
      <c r="G412" s="26">
        <v>6000000</v>
      </c>
      <c r="H412" s="15"/>
      <c r="I412" s="15"/>
      <c r="J412" s="26">
        <v>6232549</v>
      </c>
      <c r="K412" s="26">
        <v>4000000</v>
      </c>
      <c r="L412" s="16"/>
      <c r="M412" s="15"/>
      <c r="N412" s="26"/>
      <c r="O412" s="26"/>
      <c r="P412" s="26"/>
      <c r="Q412" s="26"/>
      <c r="R412" s="26">
        <v>1476</v>
      </c>
      <c r="S412" s="26">
        <f>9952487-98000</f>
        <v>9854487</v>
      </c>
      <c r="T412" s="15"/>
      <c r="U412" s="15"/>
      <c r="V412" s="15">
        <v>1675050</v>
      </c>
    </row>
    <row r="413" spans="1:22" ht="12.75" customHeight="1" x14ac:dyDescent="0.2">
      <c r="A413" s="14">
        <v>29</v>
      </c>
      <c r="B413" s="22" t="s">
        <v>93</v>
      </c>
      <c r="C413" s="15">
        <v>3728</v>
      </c>
      <c r="D413" s="15">
        <f t="shared" si="66"/>
        <v>136226172</v>
      </c>
      <c r="E413" s="15">
        <f t="shared" si="67"/>
        <v>136226172</v>
      </c>
      <c r="F413" s="26">
        <v>17413379.82</v>
      </c>
      <c r="G413" s="26">
        <v>17400000</v>
      </c>
      <c r="H413" s="15"/>
      <c r="I413" s="15"/>
      <c r="J413" s="26">
        <v>14413379.82</v>
      </c>
      <c r="K413" s="26">
        <v>9743242.6400000006</v>
      </c>
      <c r="L413" s="16">
        <v>3</v>
      </c>
      <c r="M413" s="26">
        <v>14250000</v>
      </c>
      <c r="N413" s="26">
        <v>1038</v>
      </c>
      <c r="O413" s="26">
        <v>18449387.359999999</v>
      </c>
      <c r="P413" s="26">
        <v>693</v>
      </c>
      <c r="Q413" s="26">
        <v>17000000</v>
      </c>
      <c r="R413" s="26">
        <v>4485</v>
      </c>
      <c r="S413" s="26">
        <v>18449387.359999999</v>
      </c>
      <c r="T413" s="15"/>
      <c r="U413" s="15"/>
      <c r="V413" s="15">
        <v>9107395</v>
      </c>
    </row>
    <row r="414" spans="1:22" ht="12.75" customHeight="1" x14ac:dyDescent="0.2">
      <c r="A414" s="14">
        <v>30</v>
      </c>
      <c r="B414" s="22" t="s">
        <v>468</v>
      </c>
      <c r="C414" s="15">
        <v>3065</v>
      </c>
      <c r="D414" s="15">
        <f t="shared" si="66"/>
        <v>70264500.349999994</v>
      </c>
      <c r="E414" s="15">
        <f t="shared" si="67"/>
        <v>70264500.349999994</v>
      </c>
      <c r="F414" s="26">
        <v>6500000</v>
      </c>
      <c r="G414" s="26">
        <v>8500000</v>
      </c>
      <c r="H414" s="15"/>
      <c r="I414" s="15"/>
      <c r="J414" s="26">
        <v>6600000</v>
      </c>
      <c r="K414" s="26">
        <v>4400000</v>
      </c>
      <c r="L414" s="16"/>
      <c r="M414" s="15"/>
      <c r="N414" s="26">
        <v>672</v>
      </c>
      <c r="O414" s="26">
        <v>12880630</v>
      </c>
      <c r="P414" s="26">
        <v>577</v>
      </c>
      <c r="Q414" s="26">
        <v>11107971.800000001</v>
      </c>
      <c r="R414" s="26">
        <v>2556</v>
      </c>
      <c r="S414" s="26">
        <v>15168286.550000001</v>
      </c>
      <c r="T414" s="15"/>
      <c r="U414" s="15"/>
      <c r="V414" s="15">
        <v>5107612</v>
      </c>
    </row>
    <row r="415" spans="1:22" ht="12.75" customHeight="1" x14ac:dyDescent="0.2">
      <c r="A415" s="14">
        <v>31</v>
      </c>
      <c r="B415" s="22" t="s">
        <v>435</v>
      </c>
      <c r="C415" s="15">
        <v>8221.89</v>
      </c>
      <c r="D415" s="15">
        <f t="shared" si="66"/>
        <v>10000000</v>
      </c>
      <c r="E415" s="15">
        <f t="shared" si="67"/>
        <v>10000000</v>
      </c>
      <c r="F415" s="15"/>
      <c r="G415" s="15"/>
      <c r="H415" s="15"/>
      <c r="I415" s="15"/>
      <c r="J415" s="15"/>
      <c r="K415" s="15"/>
      <c r="L415" s="16">
        <v>2</v>
      </c>
      <c r="M415" s="15">
        <v>9500000</v>
      </c>
      <c r="N415" s="15"/>
      <c r="O415" s="15"/>
      <c r="P415" s="15"/>
      <c r="Q415" s="15"/>
      <c r="R415" s="15"/>
      <c r="S415" s="15"/>
      <c r="T415" s="15"/>
      <c r="U415" s="15"/>
      <c r="V415" s="15">
        <v>500000</v>
      </c>
    </row>
    <row r="416" spans="1:22" ht="12.75" customHeight="1" x14ac:dyDescent="0.2">
      <c r="A416" s="14">
        <v>32</v>
      </c>
      <c r="B416" s="22" t="s">
        <v>96</v>
      </c>
      <c r="C416" s="15">
        <v>4350.2299999999996</v>
      </c>
      <c r="D416" s="15">
        <f t="shared" si="66"/>
        <v>75797273</v>
      </c>
      <c r="E416" s="15">
        <f t="shared" si="67"/>
        <v>75797273</v>
      </c>
      <c r="F416" s="26">
        <v>5000000</v>
      </c>
      <c r="G416" s="26">
        <v>7000000</v>
      </c>
      <c r="H416" s="15"/>
      <c r="I416" s="15"/>
      <c r="J416" s="26">
        <v>6000000</v>
      </c>
      <c r="K416" s="26">
        <v>4000000</v>
      </c>
      <c r="L416" s="16"/>
      <c r="M416" s="26"/>
      <c r="N416" s="26">
        <v>570</v>
      </c>
      <c r="O416" s="26">
        <v>14536640</v>
      </c>
      <c r="P416" s="26">
        <v>496</v>
      </c>
      <c r="Q416" s="26">
        <v>13000000</v>
      </c>
      <c r="R416" s="26">
        <v>2990.1</v>
      </c>
      <c r="S416" s="26">
        <f>20696489-50000</f>
        <v>20646489</v>
      </c>
      <c r="T416" s="15"/>
      <c r="U416" s="15"/>
      <c r="V416" s="15">
        <v>5614144</v>
      </c>
    </row>
    <row r="417" spans="1:22" ht="12.75" customHeight="1" x14ac:dyDescent="0.2">
      <c r="A417" s="14">
        <v>33</v>
      </c>
      <c r="B417" s="22" t="s">
        <v>92</v>
      </c>
      <c r="C417" s="15">
        <v>4324.55</v>
      </c>
      <c r="D417" s="15">
        <f t="shared" si="66"/>
        <v>75797274</v>
      </c>
      <c r="E417" s="15">
        <f t="shared" si="67"/>
        <v>75797274</v>
      </c>
      <c r="F417" s="26">
        <v>5000000</v>
      </c>
      <c r="G417" s="26">
        <v>7000000</v>
      </c>
      <c r="H417" s="15"/>
      <c r="I417" s="15"/>
      <c r="J417" s="26">
        <v>6000000</v>
      </c>
      <c r="K417" s="26">
        <v>4000000</v>
      </c>
      <c r="L417" s="16"/>
      <c r="M417" s="26"/>
      <c r="N417" s="26">
        <v>650</v>
      </c>
      <c r="O417" s="26">
        <v>14536640</v>
      </c>
      <c r="P417" s="26">
        <v>496</v>
      </c>
      <c r="Q417" s="26">
        <v>13000000</v>
      </c>
      <c r="R417" s="26">
        <v>2990.1</v>
      </c>
      <c r="S417" s="26">
        <v>20696489</v>
      </c>
      <c r="T417" s="15"/>
      <c r="U417" s="15"/>
      <c r="V417" s="15">
        <v>5564145</v>
      </c>
    </row>
    <row r="418" spans="1:22" ht="12.75" customHeight="1" x14ac:dyDescent="0.2">
      <c r="A418" s="19" t="s">
        <v>35</v>
      </c>
      <c r="B418" s="20"/>
      <c r="C418" s="17"/>
      <c r="D418" s="15"/>
      <c r="E418" s="15"/>
      <c r="F418" s="17"/>
      <c r="G418" s="17"/>
      <c r="H418" s="17"/>
      <c r="I418" s="17"/>
      <c r="J418" s="17"/>
      <c r="K418" s="17"/>
      <c r="L418" s="18"/>
      <c r="M418" s="17"/>
      <c r="N418" s="17"/>
      <c r="O418" s="17"/>
      <c r="P418" s="17"/>
      <c r="Q418" s="17"/>
      <c r="R418" s="17"/>
      <c r="S418" s="17"/>
      <c r="T418" s="17"/>
      <c r="U418" s="17"/>
      <c r="V418" s="15"/>
    </row>
    <row r="419" spans="1:22" ht="12.75" customHeight="1" x14ac:dyDescent="0.2">
      <c r="A419" s="19" t="s">
        <v>232</v>
      </c>
      <c r="B419" s="20"/>
      <c r="C419" s="17"/>
      <c r="D419" s="15"/>
      <c r="E419" s="15"/>
      <c r="F419" s="17"/>
      <c r="G419" s="17"/>
      <c r="H419" s="17"/>
      <c r="I419" s="17"/>
      <c r="J419" s="17"/>
      <c r="K419" s="17"/>
      <c r="L419" s="18"/>
      <c r="M419" s="17"/>
      <c r="N419" s="17"/>
      <c r="O419" s="17"/>
      <c r="P419" s="17"/>
      <c r="Q419" s="17"/>
      <c r="R419" s="17"/>
      <c r="S419" s="17"/>
      <c r="T419" s="17"/>
      <c r="U419" s="17"/>
      <c r="V419" s="15"/>
    </row>
    <row r="420" spans="1:22" ht="12.75" customHeight="1" x14ac:dyDescent="0.2">
      <c r="A420" s="12">
        <v>34</v>
      </c>
      <c r="B420" s="21" t="s">
        <v>256</v>
      </c>
      <c r="C420" s="11">
        <v>4890</v>
      </c>
      <c r="D420" s="15">
        <f t="shared" ref="D420" si="68">F420+G420+H420+I420+J420+K420+M420+O420+Q420+S420+U420+V420</f>
        <v>31349400</v>
      </c>
      <c r="E420" s="15">
        <f>D420</f>
        <v>31349400</v>
      </c>
      <c r="F420" s="15"/>
      <c r="G420" s="15">
        <v>4000000</v>
      </c>
      <c r="H420" s="15"/>
      <c r="I420" s="15"/>
      <c r="J420" s="15">
        <v>2000000</v>
      </c>
      <c r="K420" s="15">
        <v>1000000</v>
      </c>
      <c r="L420" s="16"/>
      <c r="M420" s="15"/>
      <c r="N420" s="15">
        <v>1190</v>
      </c>
      <c r="O420" s="27">
        <f>23940000-245000-534000</f>
        <v>23161000</v>
      </c>
      <c r="P420" s="15"/>
      <c r="Q420" s="15"/>
      <c r="R420" s="15"/>
      <c r="S420" s="15"/>
      <c r="T420" s="15"/>
      <c r="U420" s="15"/>
      <c r="V420" s="15">
        <v>1188400</v>
      </c>
    </row>
    <row r="421" spans="1:22" ht="12.75" customHeight="1" x14ac:dyDescent="0.2">
      <c r="A421" s="19" t="s">
        <v>257</v>
      </c>
      <c r="B421" s="20"/>
      <c r="C421" s="17"/>
      <c r="D421" s="15"/>
      <c r="E421" s="15"/>
      <c r="F421" s="17"/>
      <c r="G421" s="17"/>
      <c r="H421" s="17"/>
      <c r="I421" s="17"/>
      <c r="J421" s="17"/>
      <c r="K421" s="17"/>
      <c r="L421" s="16"/>
      <c r="M421" s="15"/>
      <c r="N421" s="15"/>
      <c r="O421" s="15"/>
      <c r="P421" s="15"/>
      <c r="Q421" s="15"/>
      <c r="R421" s="15"/>
      <c r="S421" s="15"/>
      <c r="T421" s="15"/>
      <c r="U421" s="15"/>
      <c r="V421" s="15"/>
    </row>
    <row r="422" spans="1:22" ht="12.75" customHeight="1" x14ac:dyDescent="0.2">
      <c r="A422" s="12">
        <v>35</v>
      </c>
      <c r="B422" s="21" t="s">
        <v>411</v>
      </c>
      <c r="C422" s="11">
        <v>15165.47</v>
      </c>
      <c r="D422" s="15">
        <f t="shared" ref="D422:D428" si="69">F422+G422+H422+I422+J422+K422+M422+O422+Q422+S422+U422+V422</f>
        <v>72656380</v>
      </c>
      <c r="E422" s="15">
        <f t="shared" ref="E422:E428" si="70">D422</f>
        <v>72656380</v>
      </c>
      <c r="F422" s="15"/>
      <c r="G422" s="15">
        <v>1000000</v>
      </c>
      <c r="H422" s="15"/>
      <c r="I422" s="15"/>
      <c r="J422" s="15"/>
      <c r="K422" s="15"/>
      <c r="L422" s="16"/>
      <c r="M422" s="15"/>
      <c r="N422" s="15">
        <v>2763</v>
      </c>
      <c r="O422" s="27">
        <f>70838000-1300000</f>
        <v>69538000</v>
      </c>
      <c r="P422" s="15"/>
      <c r="Q422" s="15"/>
      <c r="R422" s="15"/>
      <c r="S422" s="15"/>
      <c r="T422" s="15"/>
      <c r="U422" s="15"/>
      <c r="V422" s="15">
        <v>2118380</v>
      </c>
    </row>
    <row r="423" spans="1:22" ht="12.75" customHeight="1" x14ac:dyDescent="0.2">
      <c r="A423" s="12">
        <v>36</v>
      </c>
      <c r="B423" s="21" t="s">
        <v>258</v>
      </c>
      <c r="C423" s="11">
        <v>6526.81</v>
      </c>
      <c r="D423" s="15">
        <f t="shared" si="69"/>
        <v>51474660</v>
      </c>
      <c r="E423" s="15">
        <f t="shared" si="70"/>
        <v>51474660</v>
      </c>
      <c r="F423" s="15"/>
      <c r="G423" s="15"/>
      <c r="H423" s="15"/>
      <c r="I423" s="15"/>
      <c r="J423" s="15"/>
      <c r="K423" s="15"/>
      <c r="L423" s="16"/>
      <c r="M423" s="15"/>
      <c r="N423" s="15">
        <v>1112</v>
      </c>
      <c r="O423" s="27">
        <v>29115700</v>
      </c>
      <c r="P423" s="15"/>
      <c r="Q423" s="15"/>
      <c r="R423" s="15">
        <v>1977</v>
      </c>
      <c r="S423" s="15">
        <f>21750300-876000</f>
        <v>20874300</v>
      </c>
      <c r="T423" s="15"/>
      <c r="U423" s="15"/>
      <c r="V423" s="15">
        <v>1484660</v>
      </c>
    </row>
    <row r="424" spans="1:22" ht="12.75" customHeight="1" x14ac:dyDescent="0.2">
      <c r="A424" s="12">
        <v>37</v>
      </c>
      <c r="B424" s="21" t="s">
        <v>259</v>
      </c>
      <c r="C424" s="11">
        <v>8535.4599999999991</v>
      </c>
      <c r="D424" s="15">
        <f t="shared" si="69"/>
        <v>62582034</v>
      </c>
      <c r="E424" s="15">
        <f t="shared" si="70"/>
        <v>62582034</v>
      </c>
      <c r="F424" s="15"/>
      <c r="G424" s="15">
        <v>1000000</v>
      </c>
      <c r="H424" s="15"/>
      <c r="I424" s="15"/>
      <c r="J424" s="15"/>
      <c r="K424" s="15"/>
      <c r="L424" s="16"/>
      <c r="M424" s="15"/>
      <c r="N424" s="15">
        <v>624</v>
      </c>
      <c r="O424" s="27">
        <f>41628800-1066000</f>
        <v>40562800</v>
      </c>
      <c r="P424" s="15"/>
      <c r="Q424" s="15"/>
      <c r="R424" s="15">
        <v>1749</v>
      </c>
      <c r="S424" s="15">
        <v>19234600</v>
      </c>
      <c r="T424" s="15"/>
      <c r="U424" s="15"/>
      <c r="V424" s="15">
        <v>1784634</v>
      </c>
    </row>
    <row r="425" spans="1:22" ht="12.75" customHeight="1" x14ac:dyDescent="0.2">
      <c r="A425" s="12">
        <v>38</v>
      </c>
      <c r="B425" s="21" t="s">
        <v>260</v>
      </c>
      <c r="C425" s="11">
        <v>8693.9500000000007</v>
      </c>
      <c r="D425" s="15">
        <f t="shared" si="69"/>
        <v>73946050</v>
      </c>
      <c r="E425" s="15">
        <f t="shared" si="70"/>
        <v>73946050</v>
      </c>
      <c r="F425" s="15">
        <v>5000000</v>
      </c>
      <c r="G425" s="15">
        <v>9000000</v>
      </c>
      <c r="H425" s="15"/>
      <c r="I425" s="15"/>
      <c r="J425" s="15">
        <v>5000000</v>
      </c>
      <c r="K425" s="15">
        <v>2000000</v>
      </c>
      <c r="L425" s="16"/>
      <c r="M425" s="15"/>
      <c r="N425" s="15">
        <v>1546.4</v>
      </c>
      <c r="O425" s="27">
        <v>23313600</v>
      </c>
      <c r="P425" s="15"/>
      <c r="Q425" s="15"/>
      <c r="R425" s="15">
        <v>2618</v>
      </c>
      <c r="S425" s="15">
        <f>28801300-230000-1259000</f>
        <v>27312300</v>
      </c>
      <c r="T425" s="15"/>
      <c r="U425" s="15"/>
      <c r="V425" s="15">
        <v>2320150</v>
      </c>
    </row>
    <row r="426" spans="1:22" ht="12.75" customHeight="1" x14ac:dyDescent="0.2">
      <c r="A426" s="12">
        <v>39</v>
      </c>
      <c r="B426" s="21" t="s">
        <v>261</v>
      </c>
      <c r="C426" s="11">
        <v>10575.67</v>
      </c>
      <c r="D426" s="15">
        <f t="shared" si="69"/>
        <v>29183960</v>
      </c>
      <c r="E426" s="15">
        <f t="shared" si="70"/>
        <v>29183960</v>
      </c>
      <c r="F426" s="15"/>
      <c r="G426" s="15"/>
      <c r="H426" s="15"/>
      <c r="I426" s="15"/>
      <c r="J426" s="15"/>
      <c r="K426" s="15"/>
      <c r="L426" s="16"/>
      <c r="M426" s="15"/>
      <c r="N426" s="15">
        <v>1146</v>
      </c>
      <c r="O426" s="27">
        <f>28796000-500000</f>
        <v>28296000</v>
      </c>
      <c r="P426" s="15"/>
      <c r="Q426" s="15"/>
      <c r="R426" s="15"/>
      <c r="S426" s="15"/>
      <c r="T426" s="15"/>
      <c r="U426" s="15"/>
      <c r="V426" s="15">
        <v>887960</v>
      </c>
    </row>
    <row r="427" spans="1:22" ht="12.75" customHeight="1" x14ac:dyDescent="0.2">
      <c r="A427" s="12">
        <v>40</v>
      </c>
      <c r="B427" s="21" t="s">
        <v>262</v>
      </c>
      <c r="C427" s="11">
        <v>4138.6000000000004</v>
      </c>
      <c r="D427" s="15">
        <f t="shared" si="69"/>
        <v>27252840</v>
      </c>
      <c r="E427" s="15">
        <f t="shared" si="70"/>
        <v>27252840</v>
      </c>
      <c r="F427" s="15"/>
      <c r="G427" s="15">
        <v>4000000</v>
      </c>
      <c r="H427" s="15"/>
      <c r="I427" s="15"/>
      <c r="J427" s="15">
        <v>2000000</v>
      </c>
      <c r="K427" s="15">
        <v>1000000</v>
      </c>
      <c r="L427" s="16"/>
      <c r="M427" s="15"/>
      <c r="N427" s="15">
        <v>1034</v>
      </c>
      <c r="O427" s="27">
        <f>19884000-273000-464000</f>
        <v>19147000</v>
      </c>
      <c r="P427" s="15"/>
      <c r="Q427" s="15"/>
      <c r="R427" s="15"/>
      <c r="S427" s="15"/>
      <c r="T427" s="15"/>
      <c r="U427" s="15"/>
      <c r="V427" s="15">
        <v>1105840</v>
      </c>
    </row>
    <row r="428" spans="1:22" ht="12.75" customHeight="1" x14ac:dyDescent="0.2">
      <c r="A428" s="12">
        <v>41</v>
      </c>
      <c r="B428" s="21" t="s">
        <v>263</v>
      </c>
      <c r="C428" s="11">
        <v>7737.01</v>
      </c>
      <c r="D428" s="15">
        <f t="shared" si="69"/>
        <v>39148620</v>
      </c>
      <c r="E428" s="15">
        <f t="shared" si="70"/>
        <v>39148620</v>
      </c>
      <c r="F428" s="15"/>
      <c r="G428" s="15">
        <v>1000000</v>
      </c>
      <c r="H428" s="15"/>
      <c r="I428" s="15"/>
      <c r="J428" s="15"/>
      <c r="K428" s="15"/>
      <c r="L428" s="16"/>
      <c r="M428" s="15"/>
      <c r="N428" s="15">
        <v>1487</v>
      </c>
      <c r="O428" s="27">
        <f>37662000-666000</f>
        <v>36996000</v>
      </c>
      <c r="P428" s="15"/>
      <c r="Q428" s="15"/>
      <c r="R428" s="15"/>
      <c r="S428" s="15"/>
      <c r="T428" s="15"/>
      <c r="U428" s="15"/>
      <c r="V428" s="15">
        <v>1152620</v>
      </c>
    </row>
    <row r="429" spans="1:22" ht="12.75" customHeight="1" x14ac:dyDescent="0.2">
      <c r="A429" s="19" t="s">
        <v>40</v>
      </c>
      <c r="B429" s="20"/>
      <c r="C429" s="17"/>
      <c r="D429" s="15"/>
      <c r="E429" s="15"/>
      <c r="F429" s="17"/>
      <c r="G429" s="17"/>
      <c r="H429" s="17"/>
      <c r="I429" s="17"/>
      <c r="J429" s="17"/>
      <c r="K429" s="17"/>
      <c r="L429" s="18"/>
      <c r="M429" s="17"/>
      <c r="N429" s="17"/>
      <c r="O429" s="17"/>
      <c r="P429" s="17"/>
      <c r="Q429" s="17"/>
      <c r="R429" s="17"/>
      <c r="S429" s="17"/>
      <c r="T429" s="17"/>
      <c r="U429" s="17"/>
      <c r="V429" s="15"/>
    </row>
    <row r="430" spans="1:22" ht="12.75" customHeight="1" x14ac:dyDescent="0.2">
      <c r="A430" s="19" t="s">
        <v>41</v>
      </c>
      <c r="B430" s="20"/>
      <c r="C430" s="17"/>
      <c r="D430" s="15"/>
      <c r="E430" s="15"/>
      <c r="F430" s="17"/>
      <c r="G430" s="17"/>
      <c r="H430" s="17"/>
      <c r="I430" s="17"/>
      <c r="J430" s="17"/>
      <c r="K430" s="17"/>
      <c r="L430" s="18"/>
      <c r="M430" s="15"/>
      <c r="N430" s="15"/>
      <c r="O430" s="15"/>
      <c r="P430" s="15"/>
      <c r="Q430" s="15"/>
      <c r="R430" s="15"/>
      <c r="S430" s="15"/>
      <c r="T430" s="15"/>
      <c r="U430" s="15"/>
      <c r="V430" s="15"/>
    </row>
    <row r="431" spans="1:22" ht="12.75" customHeight="1" x14ac:dyDescent="0.2">
      <c r="A431" s="12">
        <v>42</v>
      </c>
      <c r="B431" s="21" t="s">
        <v>264</v>
      </c>
      <c r="C431" s="11">
        <v>2521.73</v>
      </c>
      <c r="D431" s="15">
        <f t="shared" ref="D431:D432" si="71">F431+G431+H431+I431+J431+K431+M431+O431+Q431+S431+U431+V431</f>
        <v>10558108</v>
      </c>
      <c r="E431" s="15">
        <f>D431</f>
        <v>10558108</v>
      </c>
      <c r="F431" s="15"/>
      <c r="G431" s="26">
        <v>1800000</v>
      </c>
      <c r="H431" s="15"/>
      <c r="I431" s="15"/>
      <c r="J431" s="26">
        <f>1440000+50000</f>
        <v>1490000</v>
      </c>
      <c r="K431" s="26">
        <v>1490000</v>
      </c>
      <c r="L431" s="16"/>
      <c r="M431" s="15"/>
      <c r="N431" s="28">
        <v>776</v>
      </c>
      <c r="O431" s="28">
        <f>4548000+612786-179000</f>
        <v>4981786</v>
      </c>
      <c r="P431" s="15"/>
      <c r="Q431" s="15"/>
      <c r="R431" s="28"/>
      <c r="S431" s="28"/>
      <c r="T431" s="15"/>
      <c r="U431" s="15"/>
      <c r="V431" s="15">
        <v>796322</v>
      </c>
    </row>
    <row r="432" spans="1:22" ht="12.75" customHeight="1" x14ac:dyDescent="0.2">
      <c r="A432" s="12">
        <v>43</v>
      </c>
      <c r="B432" s="21" t="s">
        <v>265</v>
      </c>
      <c r="C432" s="11">
        <v>2518.58</v>
      </c>
      <c r="D432" s="15">
        <f t="shared" si="71"/>
        <v>10658108</v>
      </c>
      <c r="E432" s="15">
        <f>D432</f>
        <v>10658108</v>
      </c>
      <c r="F432" s="15"/>
      <c r="G432" s="26">
        <v>1800000</v>
      </c>
      <c r="H432" s="15"/>
      <c r="I432" s="15"/>
      <c r="J432" s="26">
        <v>1440000</v>
      </c>
      <c r="K432" s="26">
        <v>1440000</v>
      </c>
      <c r="L432" s="16"/>
      <c r="M432" s="15"/>
      <c r="N432" s="28">
        <v>758</v>
      </c>
      <c r="O432" s="28">
        <f>4548000+612786-82000</f>
        <v>5078786</v>
      </c>
      <c r="P432" s="15"/>
      <c r="Q432" s="15"/>
      <c r="R432" s="28"/>
      <c r="S432" s="28"/>
      <c r="T432" s="15"/>
      <c r="U432" s="15"/>
      <c r="V432" s="15">
        <v>899322</v>
      </c>
    </row>
    <row r="433" spans="1:22" ht="12.75" customHeight="1" x14ac:dyDescent="0.2">
      <c r="A433" s="19" t="s">
        <v>42</v>
      </c>
      <c r="B433" s="20"/>
      <c r="C433" s="17"/>
      <c r="D433" s="15"/>
      <c r="E433" s="15"/>
      <c r="F433" s="17"/>
      <c r="G433" s="17"/>
      <c r="H433" s="17"/>
      <c r="I433" s="17"/>
      <c r="J433" s="17"/>
      <c r="K433" s="17"/>
      <c r="L433" s="18"/>
      <c r="M433" s="17"/>
      <c r="N433" s="17"/>
      <c r="O433" s="17"/>
      <c r="P433" s="17"/>
      <c r="Q433" s="17"/>
      <c r="R433" s="17"/>
      <c r="S433" s="17"/>
      <c r="T433" s="17"/>
      <c r="U433" s="17"/>
      <c r="V433" s="15"/>
    </row>
    <row r="434" spans="1:22" ht="12.75" customHeight="1" x14ac:dyDescent="0.2">
      <c r="A434" s="19" t="s">
        <v>52</v>
      </c>
      <c r="B434" s="20"/>
      <c r="C434" s="17"/>
      <c r="D434" s="15"/>
      <c r="E434" s="15"/>
      <c r="F434" s="17"/>
      <c r="G434" s="17"/>
      <c r="H434" s="17"/>
      <c r="I434" s="17"/>
      <c r="J434" s="17"/>
      <c r="K434" s="17"/>
      <c r="L434" s="18"/>
      <c r="M434" s="15"/>
      <c r="N434" s="15"/>
      <c r="O434" s="15"/>
      <c r="P434" s="15"/>
      <c r="Q434" s="15"/>
      <c r="R434" s="15"/>
      <c r="S434" s="15"/>
      <c r="T434" s="15"/>
      <c r="U434" s="15"/>
      <c r="V434" s="15"/>
    </row>
    <row r="435" spans="1:22" ht="12.75" customHeight="1" x14ac:dyDescent="0.2">
      <c r="A435" s="12">
        <v>44</v>
      </c>
      <c r="B435" s="21" t="s">
        <v>266</v>
      </c>
      <c r="C435" s="11">
        <v>764.1</v>
      </c>
      <c r="D435" s="15">
        <f t="shared" ref="D435" si="72">F435+G435+H435+I435+J435+K435+M435+O435+Q435+S435+U435+V435</f>
        <v>13191000</v>
      </c>
      <c r="E435" s="15">
        <f>D435</f>
        <v>13191000</v>
      </c>
      <c r="F435" s="15">
        <v>1500000</v>
      </c>
      <c r="G435" s="15"/>
      <c r="H435" s="15"/>
      <c r="I435" s="15"/>
      <c r="J435" s="15">
        <v>2500000</v>
      </c>
      <c r="K435" s="15">
        <f>2500000-100000</f>
        <v>2400000</v>
      </c>
      <c r="L435" s="16"/>
      <c r="M435" s="15"/>
      <c r="N435" s="15">
        <v>431.33</v>
      </c>
      <c r="O435" s="15">
        <f>3500000-100000</f>
        <v>3400000</v>
      </c>
      <c r="P435" s="15">
        <v>249.8</v>
      </c>
      <c r="Q435" s="15">
        <f>2000000+400000</f>
        <v>2400000</v>
      </c>
      <c r="R435" s="15"/>
      <c r="S435" s="15"/>
      <c r="T435" s="15"/>
      <c r="U435" s="15"/>
      <c r="V435" s="15">
        <v>991000</v>
      </c>
    </row>
    <row r="436" spans="1:22" ht="12.75" customHeight="1" x14ac:dyDescent="0.2">
      <c r="A436" s="19" t="s">
        <v>51</v>
      </c>
      <c r="B436" s="20"/>
      <c r="C436" s="17"/>
      <c r="D436" s="15"/>
      <c r="E436" s="15"/>
      <c r="F436" s="17"/>
      <c r="G436" s="17"/>
      <c r="H436" s="17"/>
      <c r="I436" s="17"/>
      <c r="J436" s="17"/>
      <c r="K436" s="17"/>
      <c r="L436" s="18"/>
      <c r="M436" s="17"/>
      <c r="N436" s="17"/>
      <c r="O436" s="17"/>
      <c r="P436" s="17"/>
      <c r="Q436" s="17"/>
      <c r="R436" s="17"/>
      <c r="S436" s="17"/>
      <c r="T436" s="17"/>
      <c r="U436" s="17"/>
      <c r="V436" s="15"/>
    </row>
    <row r="437" spans="1:22" ht="12.75" customHeight="1" x14ac:dyDescent="0.2">
      <c r="A437" s="19" t="s">
        <v>63</v>
      </c>
      <c r="B437" s="20"/>
      <c r="C437" s="17"/>
      <c r="D437" s="15"/>
      <c r="E437" s="15"/>
      <c r="F437" s="17"/>
      <c r="G437" s="17"/>
      <c r="H437" s="17"/>
      <c r="I437" s="17"/>
      <c r="J437" s="17"/>
      <c r="K437" s="17"/>
      <c r="L437" s="18"/>
      <c r="M437" s="15"/>
      <c r="N437" s="15"/>
      <c r="O437" s="15"/>
      <c r="P437" s="15"/>
      <c r="Q437" s="15"/>
      <c r="R437" s="15"/>
      <c r="S437" s="15"/>
      <c r="T437" s="15"/>
      <c r="U437" s="15"/>
      <c r="V437" s="15"/>
    </row>
    <row r="438" spans="1:22" ht="12.75" customHeight="1" x14ac:dyDescent="0.2">
      <c r="A438" s="12">
        <v>45</v>
      </c>
      <c r="B438" s="21" t="s">
        <v>267</v>
      </c>
      <c r="C438" s="11">
        <v>2834</v>
      </c>
      <c r="D438" s="15">
        <f t="shared" ref="D438" si="73">F438+G438+H438+I438+J438+K438+M438+O438+Q438+S438+U438+V438</f>
        <v>15000000</v>
      </c>
      <c r="E438" s="15">
        <f>D438</f>
        <v>15000000</v>
      </c>
      <c r="F438" s="15"/>
      <c r="G438" s="15"/>
      <c r="H438" s="15"/>
      <c r="I438" s="15"/>
      <c r="J438" s="15"/>
      <c r="K438" s="15">
        <v>1000000</v>
      </c>
      <c r="L438" s="16"/>
      <c r="M438" s="15"/>
      <c r="N438" s="15"/>
      <c r="O438" s="11"/>
      <c r="P438" s="15"/>
      <c r="Q438" s="15"/>
      <c r="R438" s="15">
        <v>2500</v>
      </c>
      <c r="S438" s="15">
        <f>13160000-100000</f>
        <v>13060000</v>
      </c>
      <c r="T438" s="15"/>
      <c r="U438" s="15"/>
      <c r="V438" s="15">
        <v>940000</v>
      </c>
    </row>
    <row r="439" spans="1:22" ht="12.75" customHeight="1" x14ac:dyDescent="0.2">
      <c r="A439" s="19" t="s">
        <v>44</v>
      </c>
      <c r="B439" s="20"/>
      <c r="C439" s="17"/>
      <c r="D439" s="15"/>
      <c r="E439" s="15"/>
      <c r="F439" s="17"/>
      <c r="G439" s="17"/>
      <c r="H439" s="17"/>
      <c r="I439" s="17"/>
      <c r="J439" s="17"/>
      <c r="K439" s="17"/>
      <c r="L439" s="18"/>
      <c r="M439" s="17"/>
      <c r="N439" s="17"/>
      <c r="O439" s="17"/>
      <c r="P439" s="17"/>
      <c r="Q439" s="17"/>
      <c r="R439" s="17"/>
      <c r="S439" s="17"/>
      <c r="T439" s="17"/>
      <c r="U439" s="17"/>
      <c r="V439" s="15"/>
    </row>
    <row r="440" spans="1:22" ht="12.75" customHeight="1" x14ac:dyDescent="0.2">
      <c r="A440" s="19" t="s">
        <v>45</v>
      </c>
      <c r="B440" s="20"/>
      <c r="C440" s="17"/>
      <c r="D440" s="15"/>
      <c r="E440" s="15"/>
      <c r="F440" s="17"/>
      <c r="G440" s="17"/>
      <c r="H440" s="17"/>
      <c r="I440" s="17"/>
      <c r="J440" s="17"/>
      <c r="K440" s="17"/>
      <c r="L440" s="18"/>
      <c r="M440" s="15"/>
      <c r="N440" s="15"/>
      <c r="O440" s="15"/>
      <c r="P440" s="15"/>
      <c r="Q440" s="15"/>
      <c r="R440" s="15"/>
      <c r="S440" s="15"/>
      <c r="T440" s="15"/>
      <c r="U440" s="15"/>
      <c r="V440" s="15"/>
    </row>
    <row r="441" spans="1:22" ht="12.75" customHeight="1" x14ac:dyDescent="0.2">
      <c r="A441" s="12">
        <v>46</v>
      </c>
      <c r="B441" s="31" t="s">
        <v>268</v>
      </c>
      <c r="C441" s="11">
        <v>2478.4499999999998</v>
      </c>
      <c r="D441" s="15">
        <f t="shared" ref="D441" si="74">F441+G441+H441+I441+J441+K441+M441+O441+Q441+S441+U441+V441</f>
        <v>9920231</v>
      </c>
      <c r="E441" s="15">
        <f>D441</f>
        <v>9920231</v>
      </c>
      <c r="F441" s="15"/>
      <c r="G441" s="15">
        <v>1855000</v>
      </c>
      <c r="H441" s="15"/>
      <c r="I441" s="15"/>
      <c r="J441" s="15">
        <v>1193000</v>
      </c>
      <c r="K441" s="15">
        <f>1000000+185000</f>
        <v>1185000</v>
      </c>
      <c r="L441" s="16"/>
      <c r="M441" s="15"/>
      <c r="N441" s="15">
        <v>380</v>
      </c>
      <c r="O441" s="15">
        <f>3755000-80000</f>
        <v>3675000</v>
      </c>
      <c r="P441" s="15"/>
      <c r="Q441" s="15"/>
      <c r="R441" s="15">
        <v>656.6</v>
      </c>
      <c r="S441" s="15">
        <v>1200000</v>
      </c>
      <c r="T441" s="15"/>
      <c r="U441" s="15"/>
      <c r="V441" s="15">
        <v>812231</v>
      </c>
    </row>
    <row r="442" spans="1:22" ht="12.75" customHeight="1" x14ac:dyDescent="0.2">
      <c r="A442" s="19" t="s">
        <v>48</v>
      </c>
      <c r="B442" s="20"/>
      <c r="C442" s="17"/>
      <c r="D442" s="15"/>
      <c r="E442" s="15"/>
      <c r="F442" s="17"/>
      <c r="G442" s="17"/>
      <c r="H442" s="17"/>
      <c r="I442" s="17"/>
      <c r="J442" s="17"/>
      <c r="K442" s="17"/>
      <c r="L442" s="18"/>
      <c r="M442" s="17"/>
      <c r="N442" s="17"/>
      <c r="O442" s="17"/>
      <c r="P442" s="17"/>
      <c r="Q442" s="17"/>
      <c r="R442" s="17"/>
      <c r="S442" s="17"/>
      <c r="T442" s="17"/>
      <c r="U442" s="17"/>
      <c r="V442" s="15"/>
    </row>
    <row r="443" spans="1:22" ht="12.75" customHeight="1" x14ac:dyDescent="0.2">
      <c r="A443" s="19" t="s">
        <v>55</v>
      </c>
      <c r="B443" s="20"/>
      <c r="C443" s="17"/>
      <c r="D443" s="15"/>
      <c r="E443" s="15"/>
      <c r="F443" s="17"/>
      <c r="G443" s="17"/>
      <c r="H443" s="17"/>
      <c r="I443" s="17"/>
      <c r="J443" s="17"/>
      <c r="K443" s="17"/>
      <c r="L443" s="18"/>
      <c r="M443" s="15"/>
      <c r="N443" s="15"/>
      <c r="O443" s="15"/>
      <c r="P443" s="15"/>
      <c r="Q443" s="15"/>
      <c r="R443" s="15"/>
      <c r="S443" s="15"/>
      <c r="T443" s="15"/>
      <c r="U443" s="15"/>
      <c r="V443" s="15"/>
    </row>
    <row r="444" spans="1:22" ht="12.75" customHeight="1" x14ac:dyDescent="0.2">
      <c r="A444" s="12">
        <v>47</v>
      </c>
      <c r="B444" s="21" t="s">
        <v>321</v>
      </c>
      <c r="C444" s="11">
        <v>2270</v>
      </c>
      <c r="D444" s="15">
        <f t="shared" ref="D444" si="75">F444+G444+H444+I444+J444+K444+M444+O444+Q444+S444+U444+V444</f>
        <v>28280000</v>
      </c>
      <c r="E444" s="15">
        <f>D444</f>
        <v>28280000</v>
      </c>
      <c r="F444" s="15">
        <v>5000000</v>
      </c>
      <c r="G444" s="15">
        <f>6000000-500000</f>
        <v>5500000</v>
      </c>
      <c r="H444" s="15"/>
      <c r="I444" s="15"/>
      <c r="J444" s="15">
        <v>4000000</v>
      </c>
      <c r="K444" s="15">
        <v>2000000</v>
      </c>
      <c r="L444" s="16"/>
      <c r="M444" s="15"/>
      <c r="N444" s="15">
        <v>1200</v>
      </c>
      <c r="O444" s="28">
        <f>11000000-481000</f>
        <v>10519000</v>
      </c>
      <c r="P444" s="15"/>
      <c r="Q444" s="15"/>
      <c r="R444" s="15"/>
      <c r="S444" s="15"/>
      <c r="T444" s="15"/>
      <c r="U444" s="15"/>
      <c r="V444" s="15">
        <v>1261000</v>
      </c>
    </row>
    <row r="445" spans="1:22" ht="12.75" customHeight="1" x14ac:dyDescent="0.2">
      <c r="A445" s="19" t="s">
        <v>49</v>
      </c>
      <c r="B445" s="20"/>
      <c r="C445" s="17"/>
      <c r="D445" s="15"/>
      <c r="E445" s="15"/>
      <c r="F445" s="17"/>
      <c r="G445" s="17"/>
      <c r="H445" s="17"/>
      <c r="I445" s="17"/>
      <c r="J445" s="17"/>
      <c r="K445" s="17"/>
      <c r="L445" s="18"/>
      <c r="M445" s="17"/>
      <c r="N445" s="17"/>
      <c r="O445" s="15"/>
      <c r="P445" s="15"/>
      <c r="Q445" s="15"/>
      <c r="R445" s="15"/>
      <c r="S445" s="15"/>
      <c r="T445" s="15"/>
      <c r="U445" s="15"/>
      <c r="V445" s="15"/>
    </row>
    <row r="446" spans="1:22" ht="12.75" customHeight="1" x14ac:dyDescent="0.2">
      <c r="A446" s="19" t="s">
        <v>56</v>
      </c>
      <c r="B446" s="20"/>
      <c r="C446" s="17"/>
      <c r="D446" s="15"/>
      <c r="E446" s="15"/>
      <c r="F446" s="17"/>
      <c r="G446" s="17"/>
      <c r="H446" s="17"/>
      <c r="I446" s="17"/>
      <c r="J446" s="17"/>
      <c r="K446" s="17"/>
      <c r="L446" s="18"/>
      <c r="M446" s="17"/>
      <c r="N446" s="17"/>
      <c r="O446" s="15"/>
      <c r="P446" s="15"/>
      <c r="Q446" s="15"/>
      <c r="R446" s="15"/>
      <c r="S446" s="15"/>
      <c r="T446" s="15"/>
      <c r="U446" s="15"/>
      <c r="V446" s="15"/>
    </row>
    <row r="447" spans="1:22" ht="12.75" customHeight="1" x14ac:dyDescent="0.2">
      <c r="A447" s="12">
        <v>48</v>
      </c>
      <c r="B447" s="32" t="s">
        <v>412</v>
      </c>
      <c r="C447" s="15">
        <v>4517.4799999999996</v>
      </c>
      <c r="D447" s="15">
        <f t="shared" ref="D447:D459" si="76">F447+G447+H447+I447+J447+K447+M447+O447+Q447+S447+U447+V447</f>
        <v>6900600</v>
      </c>
      <c r="E447" s="15">
        <f t="shared" ref="E447:E459" si="77">D447</f>
        <v>6900600</v>
      </c>
      <c r="F447" s="15"/>
      <c r="G447" s="15"/>
      <c r="H447" s="15"/>
      <c r="I447" s="15"/>
      <c r="J447" s="15"/>
      <c r="K447" s="15"/>
      <c r="L447" s="16"/>
      <c r="M447" s="15"/>
      <c r="N447" s="15">
        <v>1170</v>
      </c>
      <c r="O447" s="15">
        <v>6400600</v>
      </c>
      <c r="P447" s="15"/>
      <c r="Q447" s="15"/>
      <c r="R447" s="15"/>
      <c r="S447" s="15"/>
      <c r="T447" s="15"/>
      <c r="U447" s="15"/>
      <c r="V447" s="15">
        <v>500000</v>
      </c>
    </row>
    <row r="448" spans="1:22" ht="12.75" customHeight="1" x14ac:dyDescent="0.2">
      <c r="A448" s="12">
        <v>49</v>
      </c>
      <c r="B448" s="32" t="s">
        <v>413</v>
      </c>
      <c r="C448" s="15">
        <v>1705.46</v>
      </c>
      <c r="D448" s="15">
        <f t="shared" si="76"/>
        <v>6800300</v>
      </c>
      <c r="E448" s="15">
        <f t="shared" si="77"/>
        <v>6800300</v>
      </c>
      <c r="F448" s="15"/>
      <c r="G448" s="15"/>
      <c r="H448" s="15"/>
      <c r="I448" s="15"/>
      <c r="J448" s="15"/>
      <c r="K448" s="15"/>
      <c r="L448" s="16"/>
      <c r="M448" s="15"/>
      <c r="N448" s="15">
        <v>929.5</v>
      </c>
      <c r="O448" s="15">
        <v>6300300</v>
      </c>
      <c r="P448" s="15"/>
      <c r="Q448" s="15"/>
      <c r="R448" s="15"/>
      <c r="S448" s="15"/>
      <c r="T448" s="15"/>
      <c r="U448" s="15"/>
      <c r="V448" s="15">
        <v>500000</v>
      </c>
    </row>
    <row r="449" spans="1:22" ht="12.75" customHeight="1" x14ac:dyDescent="0.2">
      <c r="A449" s="12">
        <v>50</v>
      </c>
      <c r="B449" s="32" t="s">
        <v>414</v>
      </c>
      <c r="C449" s="15">
        <v>1711.46</v>
      </c>
      <c r="D449" s="15">
        <f t="shared" si="76"/>
        <v>8300300</v>
      </c>
      <c r="E449" s="15">
        <f t="shared" si="77"/>
        <v>8300300</v>
      </c>
      <c r="F449" s="15"/>
      <c r="G449" s="15"/>
      <c r="H449" s="15"/>
      <c r="I449" s="15"/>
      <c r="J449" s="15"/>
      <c r="K449" s="15"/>
      <c r="L449" s="16"/>
      <c r="M449" s="15"/>
      <c r="N449" s="15">
        <v>918.92</v>
      </c>
      <c r="O449" s="15">
        <v>7800300</v>
      </c>
      <c r="P449" s="15"/>
      <c r="Q449" s="15"/>
      <c r="R449" s="15"/>
      <c r="S449" s="15"/>
      <c r="T449" s="15"/>
      <c r="U449" s="15"/>
      <c r="V449" s="15">
        <v>500000</v>
      </c>
    </row>
    <row r="450" spans="1:22" ht="12.75" customHeight="1" x14ac:dyDescent="0.2">
      <c r="A450" s="12">
        <v>51</v>
      </c>
      <c r="B450" s="32" t="s">
        <v>415</v>
      </c>
      <c r="C450" s="15">
        <v>1652.77</v>
      </c>
      <c r="D450" s="15">
        <f t="shared" si="76"/>
        <v>8179343.8700000001</v>
      </c>
      <c r="E450" s="15">
        <f t="shared" si="77"/>
        <v>8179343.8700000001</v>
      </c>
      <c r="F450" s="15"/>
      <c r="G450" s="15"/>
      <c r="H450" s="15"/>
      <c r="I450" s="15"/>
      <c r="J450" s="15"/>
      <c r="K450" s="15"/>
      <c r="L450" s="16"/>
      <c r="M450" s="15"/>
      <c r="N450" s="15">
        <v>935.3</v>
      </c>
      <c r="O450" s="15">
        <f>8000000-320656.13</f>
        <v>7679343.8700000001</v>
      </c>
      <c r="P450" s="15"/>
      <c r="Q450" s="15"/>
      <c r="R450" s="15"/>
      <c r="S450" s="15"/>
      <c r="T450" s="15"/>
      <c r="U450" s="15"/>
      <c r="V450" s="15">
        <v>500000</v>
      </c>
    </row>
    <row r="451" spans="1:22" ht="12.75" customHeight="1" x14ac:dyDescent="0.2">
      <c r="A451" s="12">
        <v>52</v>
      </c>
      <c r="B451" s="32" t="s">
        <v>416</v>
      </c>
      <c r="C451" s="15">
        <v>4903.6000000000004</v>
      </c>
      <c r="D451" s="15">
        <f t="shared" si="76"/>
        <v>7920956.1299999999</v>
      </c>
      <c r="E451" s="15">
        <f t="shared" si="77"/>
        <v>7920956.1299999999</v>
      </c>
      <c r="F451" s="15"/>
      <c r="G451" s="15"/>
      <c r="H451" s="15"/>
      <c r="I451" s="15"/>
      <c r="J451" s="15"/>
      <c r="K451" s="15"/>
      <c r="L451" s="16"/>
      <c r="M451" s="15"/>
      <c r="N451" s="15">
        <v>1214</v>
      </c>
      <c r="O451" s="15">
        <f>7100300+320656.13</f>
        <v>7420956.1299999999</v>
      </c>
      <c r="P451" s="15"/>
      <c r="Q451" s="15"/>
      <c r="R451" s="15"/>
      <c r="S451" s="15"/>
      <c r="T451" s="15"/>
      <c r="U451" s="15"/>
      <c r="V451" s="15">
        <v>500000</v>
      </c>
    </row>
    <row r="452" spans="1:22" ht="12.75" customHeight="1" x14ac:dyDescent="0.2">
      <c r="A452" s="12">
        <v>53</v>
      </c>
      <c r="B452" s="32" t="s">
        <v>417</v>
      </c>
      <c r="C452" s="15">
        <v>2713.5</v>
      </c>
      <c r="D452" s="15">
        <f t="shared" si="76"/>
        <v>6925300</v>
      </c>
      <c r="E452" s="15">
        <f t="shared" si="77"/>
        <v>6925300</v>
      </c>
      <c r="F452" s="15"/>
      <c r="G452" s="15"/>
      <c r="H452" s="15"/>
      <c r="I452" s="15"/>
      <c r="J452" s="15"/>
      <c r="K452" s="15"/>
      <c r="L452" s="16"/>
      <c r="M452" s="15"/>
      <c r="N452" s="15">
        <v>1039.8</v>
      </c>
      <c r="O452" s="15">
        <v>6425300</v>
      </c>
      <c r="P452" s="15"/>
      <c r="Q452" s="15"/>
      <c r="R452" s="15"/>
      <c r="S452" s="15"/>
      <c r="T452" s="15"/>
      <c r="U452" s="15"/>
      <c r="V452" s="15">
        <v>500000</v>
      </c>
    </row>
    <row r="453" spans="1:22" ht="12.75" customHeight="1" x14ac:dyDescent="0.2">
      <c r="A453" s="12">
        <v>54</v>
      </c>
      <c r="B453" s="32" t="s">
        <v>418</v>
      </c>
      <c r="C453" s="15">
        <v>3446.2</v>
      </c>
      <c r="D453" s="15">
        <f t="shared" si="76"/>
        <v>7418600</v>
      </c>
      <c r="E453" s="15">
        <f t="shared" si="77"/>
        <v>7418600</v>
      </c>
      <c r="F453" s="15"/>
      <c r="G453" s="15"/>
      <c r="H453" s="15"/>
      <c r="I453" s="15"/>
      <c r="J453" s="15"/>
      <c r="K453" s="15"/>
      <c r="L453" s="16"/>
      <c r="M453" s="15"/>
      <c r="N453" s="15">
        <v>950</v>
      </c>
      <c r="O453" s="15">
        <v>6918600</v>
      </c>
      <c r="P453" s="15"/>
      <c r="Q453" s="15"/>
      <c r="R453" s="15"/>
      <c r="S453" s="15"/>
      <c r="T453" s="15"/>
      <c r="U453" s="15"/>
      <c r="V453" s="15">
        <v>500000</v>
      </c>
    </row>
    <row r="454" spans="1:22" ht="12.75" customHeight="1" x14ac:dyDescent="0.2">
      <c r="A454" s="12">
        <v>55</v>
      </c>
      <c r="B454" s="32" t="s">
        <v>419</v>
      </c>
      <c r="C454" s="15">
        <v>3408.64</v>
      </c>
      <c r="D454" s="15">
        <f t="shared" si="76"/>
        <v>8918180</v>
      </c>
      <c r="E454" s="15">
        <f t="shared" si="77"/>
        <v>8918180</v>
      </c>
      <c r="F454" s="15"/>
      <c r="G454" s="15"/>
      <c r="H454" s="15"/>
      <c r="I454" s="15"/>
      <c r="J454" s="15"/>
      <c r="K454" s="15"/>
      <c r="L454" s="16"/>
      <c r="M454" s="15"/>
      <c r="N454" s="15">
        <v>950</v>
      </c>
      <c r="O454" s="15">
        <v>8318180</v>
      </c>
      <c r="P454" s="15"/>
      <c r="Q454" s="15"/>
      <c r="R454" s="15"/>
      <c r="S454" s="15"/>
      <c r="T454" s="15"/>
      <c r="U454" s="15"/>
      <c r="V454" s="15">
        <v>600000</v>
      </c>
    </row>
    <row r="455" spans="1:22" ht="12.75" customHeight="1" x14ac:dyDescent="0.2">
      <c r="A455" s="12">
        <v>56</v>
      </c>
      <c r="B455" s="32" t="s">
        <v>420</v>
      </c>
      <c r="C455" s="15">
        <v>2774.73</v>
      </c>
      <c r="D455" s="15">
        <f t="shared" si="76"/>
        <v>7800600</v>
      </c>
      <c r="E455" s="15">
        <f t="shared" si="77"/>
        <v>7800600</v>
      </c>
      <c r="F455" s="15"/>
      <c r="G455" s="15"/>
      <c r="H455" s="15"/>
      <c r="I455" s="15"/>
      <c r="J455" s="15"/>
      <c r="K455" s="15"/>
      <c r="L455" s="16"/>
      <c r="M455" s="15"/>
      <c r="N455" s="15">
        <v>874.5</v>
      </c>
      <c r="O455" s="15">
        <v>7200600</v>
      </c>
      <c r="P455" s="15"/>
      <c r="Q455" s="15"/>
      <c r="R455" s="15"/>
      <c r="S455" s="15"/>
      <c r="T455" s="15"/>
      <c r="U455" s="15"/>
      <c r="V455" s="15">
        <v>600000</v>
      </c>
    </row>
    <row r="456" spans="1:22" ht="12.75" customHeight="1" x14ac:dyDescent="0.2">
      <c r="A456" s="12">
        <v>57</v>
      </c>
      <c r="B456" s="32" t="s">
        <v>469</v>
      </c>
      <c r="C456" s="15">
        <v>3005</v>
      </c>
      <c r="D456" s="15">
        <f t="shared" si="76"/>
        <v>7010440</v>
      </c>
      <c r="E456" s="15">
        <f t="shared" si="77"/>
        <v>7010440</v>
      </c>
      <c r="F456" s="15"/>
      <c r="G456" s="15"/>
      <c r="H456" s="15"/>
      <c r="I456" s="15"/>
      <c r="J456" s="15"/>
      <c r="K456" s="15"/>
      <c r="L456" s="16"/>
      <c r="M456" s="15"/>
      <c r="N456" s="15">
        <v>780</v>
      </c>
      <c r="O456" s="15">
        <v>6410440</v>
      </c>
      <c r="P456" s="15"/>
      <c r="Q456" s="15"/>
      <c r="R456" s="15"/>
      <c r="S456" s="15"/>
      <c r="T456" s="15"/>
      <c r="U456" s="15"/>
      <c r="V456" s="15">
        <v>600000</v>
      </c>
    </row>
    <row r="457" spans="1:22" ht="12.75" customHeight="1" x14ac:dyDescent="0.2">
      <c r="A457" s="12">
        <v>58</v>
      </c>
      <c r="B457" s="32" t="s">
        <v>269</v>
      </c>
      <c r="C457" s="15">
        <v>1611.2</v>
      </c>
      <c r="D457" s="15">
        <f t="shared" si="76"/>
        <v>6925300</v>
      </c>
      <c r="E457" s="15">
        <f t="shared" si="77"/>
        <v>6925300</v>
      </c>
      <c r="F457" s="15"/>
      <c r="G457" s="15"/>
      <c r="H457" s="15"/>
      <c r="I457" s="15"/>
      <c r="J457" s="15"/>
      <c r="K457" s="15"/>
      <c r="L457" s="16"/>
      <c r="M457" s="15"/>
      <c r="N457" s="15">
        <v>937</v>
      </c>
      <c r="O457" s="15">
        <v>6425300</v>
      </c>
      <c r="P457" s="15"/>
      <c r="Q457" s="15"/>
      <c r="R457" s="15"/>
      <c r="S457" s="15"/>
      <c r="T457" s="15"/>
      <c r="U457" s="15"/>
      <c r="V457" s="15">
        <v>500000</v>
      </c>
    </row>
    <row r="458" spans="1:22" ht="12.75" customHeight="1" x14ac:dyDescent="0.2">
      <c r="A458" s="12">
        <v>59</v>
      </c>
      <c r="B458" s="32" t="s">
        <v>316</v>
      </c>
      <c r="C458" s="15">
        <v>1635.5</v>
      </c>
      <c r="D458" s="15">
        <f t="shared" si="76"/>
        <v>7010440</v>
      </c>
      <c r="E458" s="15">
        <f t="shared" si="77"/>
        <v>7010440</v>
      </c>
      <c r="F458" s="15"/>
      <c r="G458" s="15"/>
      <c r="H458" s="15"/>
      <c r="I458" s="15"/>
      <c r="J458" s="15"/>
      <c r="K458" s="15"/>
      <c r="L458" s="16"/>
      <c r="M458" s="15"/>
      <c r="N458" s="15">
        <v>965</v>
      </c>
      <c r="O458" s="15">
        <v>6410440</v>
      </c>
      <c r="P458" s="15"/>
      <c r="Q458" s="15"/>
      <c r="R458" s="15"/>
      <c r="S458" s="15"/>
      <c r="T458" s="15"/>
      <c r="U458" s="15"/>
      <c r="V458" s="15">
        <v>600000</v>
      </c>
    </row>
    <row r="459" spans="1:22" ht="12.75" customHeight="1" x14ac:dyDescent="0.2">
      <c r="A459" s="12">
        <v>60</v>
      </c>
      <c r="B459" s="32" t="s">
        <v>431</v>
      </c>
      <c r="C459" s="15">
        <v>3922.18</v>
      </c>
      <c r="D459" s="15">
        <f t="shared" si="76"/>
        <v>9889640</v>
      </c>
      <c r="E459" s="15">
        <f t="shared" si="77"/>
        <v>9889640</v>
      </c>
      <c r="F459" s="15"/>
      <c r="G459" s="15"/>
      <c r="H459" s="15"/>
      <c r="I459" s="15"/>
      <c r="J459" s="15"/>
      <c r="K459" s="15"/>
      <c r="L459" s="16"/>
      <c r="M459" s="15"/>
      <c r="N459" s="15">
        <v>1344</v>
      </c>
      <c r="O459" s="15">
        <v>7289640</v>
      </c>
      <c r="P459" s="15"/>
      <c r="Q459" s="15"/>
      <c r="R459" s="15">
        <v>350</v>
      </c>
      <c r="S459" s="15">
        <v>2000000</v>
      </c>
      <c r="T459" s="15"/>
      <c r="U459" s="15"/>
      <c r="V459" s="15">
        <v>600000</v>
      </c>
    </row>
    <row r="460" spans="1:22" ht="12.75" customHeight="1" x14ac:dyDescent="0.2">
      <c r="A460" s="19" t="s">
        <v>57</v>
      </c>
      <c r="B460" s="20"/>
      <c r="C460" s="17"/>
      <c r="D460" s="15"/>
      <c r="E460" s="15"/>
      <c r="F460" s="15"/>
      <c r="G460" s="15"/>
      <c r="H460" s="15"/>
      <c r="I460" s="15"/>
      <c r="J460" s="15"/>
      <c r="K460" s="15"/>
      <c r="L460" s="16"/>
      <c r="M460" s="15"/>
      <c r="N460" s="15"/>
      <c r="O460" s="15"/>
      <c r="P460" s="15"/>
      <c r="Q460" s="15"/>
      <c r="R460" s="15"/>
      <c r="S460" s="15"/>
      <c r="T460" s="15"/>
      <c r="U460" s="15"/>
      <c r="V460" s="15"/>
    </row>
    <row r="461" spans="1:22" ht="12.75" customHeight="1" x14ac:dyDescent="0.2">
      <c r="A461" s="12">
        <v>61</v>
      </c>
      <c r="B461" s="21" t="s">
        <v>421</v>
      </c>
      <c r="C461" s="11">
        <v>5375.1</v>
      </c>
      <c r="D461" s="15">
        <f t="shared" ref="D461:D467" si="78">F461+G461+H461+I461+J461+K461+M461+O461+Q461+S461+U461+V461</f>
        <v>14455020</v>
      </c>
      <c r="E461" s="15">
        <f t="shared" ref="E461:E467" si="79">D461</f>
        <v>14455020</v>
      </c>
      <c r="F461" s="15"/>
      <c r="G461" s="15"/>
      <c r="H461" s="15"/>
      <c r="I461" s="15"/>
      <c r="J461" s="15"/>
      <c r="K461" s="15"/>
      <c r="L461" s="16"/>
      <c r="M461" s="15"/>
      <c r="N461" s="15">
        <v>892</v>
      </c>
      <c r="O461" s="11">
        <v>9078000</v>
      </c>
      <c r="P461" s="15"/>
      <c r="Q461" s="15"/>
      <c r="R461" s="15">
        <v>2000</v>
      </c>
      <c r="S461" s="15">
        <v>4000000</v>
      </c>
      <c r="T461" s="15"/>
      <c r="U461" s="15"/>
      <c r="V461" s="15">
        <v>1377020</v>
      </c>
    </row>
    <row r="462" spans="1:22" ht="12.75" customHeight="1" x14ac:dyDescent="0.2">
      <c r="A462" s="12">
        <v>62</v>
      </c>
      <c r="B462" s="21" t="s">
        <v>319</v>
      </c>
      <c r="C462" s="11">
        <v>5994.7</v>
      </c>
      <c r="D462" s="15">
        <f t="shared" si="78"/>
        <v>18799760</v>
      </c>
      <c r="E462" s="15">
        <f t="shared" si="79"/>
        <v>18799760</v>
      </c>
      <c r="F462" s="15"/>
      <c r="G462" s="15"/>
      <c r="H462" s="15"/>
      <c r="I462" s="15"/>
      <c r="J462" s="15"/>
      <c r="K462" s="15"/>
      <c r="L462" s="16"/>
      <c r="M462" s="15"/>
      <c r="N462" s="15">
        <v>2546</v>
      </c>
      <c r="O462" s="11">
        <v>13064000</v>
      </c>
      <c r="P462" s="15"/>
      <c r="Q462" s="15"/>
      <c r="R462" s="15">
        <v>3000</v>
      </c>
      <c r="S462" s="15">
        <v>4000000</v>
      </c>
      <c r="T462" s="15"/>
      <c r="U462" s="15"/>
      <c r="V462" s="15">
        <v>1735760</v>
      </c>
    </row>
    <row r="463" spans="1:22" ht="12.75" customHeight="1" x14ac:dyDescent="0.2">
      <c r="A463" s="12">
        <v>63</v>
      </c>
      <c r="B463" s="21" t="s">
        <v>270</v>
      </c>
      <c r="C463" s="11">
        <v>13094</v>
      </c>
      <c r="D463" s="15">
        <f t="shared" si="78"/>
        <v>16704780</v>
      </c>
      <c r="E463" s="15">
        <f t="shared" si="79"/>
        <v>16704780</v>
      </c>
      <c r="F463" s="15"/>
      <c r="G463" s="15"/>
      <c r="H463" s="15"/>
      <c r="I463" s="15"/>
      <c r="J463" s="15"/>
      <c r="K463" s="15"/>
      <c r="L463" s="16"/>
      <c r="M463" s="15"/>
      <c r="N463" s="15">
        <v>1728</v>
      </c>
      <c r="O463" s="11">
        <v>11142000</v>
      </c>
      <c r="P463" s="15"/>
      <c r="Q463" s="15"/>
      <c r="R463" s="15">
        <v>2000</v>
      </c>
      <c r="S463" s="15">
        <v>4000000</v>
      </c>
      <c r="T463" s="15"/>
      <c r="U463" s="15"/>
      <c r="V463" s="15">
        <v>1562780</v>
      </c>
    </row>
    <row r="464" spans="1:22" ht="12.75" customHeight="1" x14ac:dyDescent="0.2">
      <c r="A464" s="12">
        <v>64</v>
      </c>
      <c r="B464" s="21" t="s">
        <v>318</v>
      </c>
      <c r="C464" s="11">
        <v>7815</v>
      </c>
      <c r="D464" s="15">
        <f t="shared" si="78"/>
        <v>14448480</v>
      </c>
      <c r="E464" s="15">
        <f t="shared" si="79"/>
        <v>14448480</v>
      </c>
      <c r="F464" s="15"/>
      <c r="G464" s="15"/>
      <c r="H464" s="15"/>
      <c r="I464" s="15"/>
      <c r="J464" s="15"/>
      <c r="K464" s="15"/>
      <c r="L464" s="16"/>
      <c r="M464" s="15"/>
      <c r="N464" s="15">
        <v>1429</v>
      </c>
      <c r="O464" s="11">
        <v>9072000</v>
      </c>
      <c r="P464" s="15"/>
      <c r="Q464" s="15"/>
      <c r="R464" s="15">
        <v>3000</v>
      </c>
      <c r="S464" s="15">
        <v>4000000</v>
      </c>
      <c r="T464" s="15"/>
      <c r="U464" s="15"/>
      <c r="V464" s="15">
        <v>1376480</v>
      </c>
    </row>
    <row r="465" spans="1:22" ht="12.75" customHeight="1" x14ac:dyDescent="0.2">
      <c r="A465" s="12">
        <v>65</v>
      </c>
      <c r="B465" s="21" t="s">
        <v>271</v>
      </c>
      <c r="C465" s="11">
        <v>12526</v>
      </c>
      <c r="D465" s="15">
        <f t="shared" si="78"/>
        <v>11130520</v>
      </c>
      <c r="E465" s="15">
        <f t="shared" si="79"/>
        <v>11130520</v>
      </c>
      <c r="F465" s="15"/>
      <c r="G465" s="15"/>
      <c r="H465" s="15"/>
      <c r="I465" s="15"/>
      <c r="J465" s="15"/>
      <c r="K465" s="15"/>
      <c r="L465" s="16"/>
      <c r="M465" s="15"/>
      <c r="N465" s="15">
        <v>1488</v>
      </c>
      <c r="O465" s="11">
        <v>8028000</v>
      </c>
      <c r="P465" s="15"/>
      <c r="Q465" s="15"/>
      <c r="R465" s="15">
        <v>1000</v>
      </c>
      <c r="S465" s="15">
        <v>2000000</v>
      </c>
      <c r="T465" s="15"/>
      <c r="U465" s="15"/>
      <c r="V465" s="15">
        <v>1102520</v>
      </c>
    </row>
    <row r="466" spans="1:22" ht="12.75" customHeight="1" x14ac:dyDescent="0.2">
      <c r="A466" s="12">
        <v>66</v>
      </c>
      <c r="B466" s="21" t="s">
        <v>272</v>
      </c>
      <c r="C466" s="11">
        <v>10604.6</v>
      </c>
      <c r="D466" s="15">
        <f t="shared" si="78"/>
        <v>13322728</v>
      </c>
      <c r="E466" s="15">
        <f t="shared" si="79"/>
        <v>13322728</v>
      </c>
      <c r="F466" s="15"/>
      <c r="G466" s="15"/>
      <c r="H466" s="15"/>
      <c r="I466" s="15"/>
      <c r="J466" s="15"/>
      <c r="K466" s="15"/>
      <c r="L466" s="16"/>
      <c r="M466" s="15"/>
      <c r="N466" s="15">
        <v>1373.2</v>
      </c>
      <c r="O466" s="11">
        <v>8039200</v>
      </c>
      <c r="P466" s="15"/>
      <c r="Q466" s="15"/>
      <c r="R466" s="15">
        <v>2000</v>
      </c>
      <c r="S466" s="15">
        <v>4000000</v>
      </c>
      <c r="T466" s="15"/>
      <c r="U466" s="15"/>
      <c r="V466" s="15">
        <v>1283528</v>
      </c>
    </row>
    <row r="467" spans="1:22" ht="12.75" customHeight="1" x14ac:dyDescent="0.2">
      <c r="A467" s="12">
        <v>67</v>
      </c>
      <c r="B467" s="21" t="s">
        <v>422</v>
      </c>
      <c r="C467" s="11">
        <v>7997.05</v>
      </c>
      <c r="D467" s="15">
        <f t="shared" si="78"/>
        <v>11130520</v>
      </c>
      <c r="E467" s="15">
        <f t="shared" si="79"/>
        <v>11130520</v>
      </c>
      <c r="F467" s="15"/>
      <c r="G467" s="15"/>
      <c r="H467" s="15"/>
      <c r="I467" s="15"/>
      <c r="J467" s="15"/>
      <c r="K467" s="15"/>
      <c r="L467" s="16"/>
      <c r="M467" s="15"/>
      <c r="N467" s="15">
        <v>1488</v>
      </c>
      <c r="O467" s="11">
        <v>8028000</v>
      </c>
      <c r="P467" s="15"/>
      <c r="Q467" s="15"/>
      <c r="R467" s="15">
        <v>1000</v>
      </c>
      <c r="S467" s="15">
        <v>2000000</v>
      </c>
      <c r="T467" s="15"/>
      <c r="U467" s="15"/>
      <c r="V467" s="15">
        <v>1102520</v>
      </c>
    </row>
    <row r="468" spans="1:22" ht="12.75" customHeight="1" x14ac:dyDescent="0.2">
      <c r="A468" s="20" t="s">
        <v>58</v>
      </c>
      <c r="B468" s="33"/>
      <c r="C468" s="34"/>
      <c r="D468" s="15"/>
      <c r="E468" s="15"/>
      <c r="F468" s="15"/>
      <c r="G468" s="15"/>
      <c r="H468" s="15"/>
      <c r="I468" s="15"/>
      <c r="J468" s="15"/>
      <c r="K468" s="15"/>
      <c r="L468" s="16"/>
      <c r="M468" s="15"/>
      <c r="N468" s="15"/>
      <c r="O468" s="11"/>
      <c r="P468" s="15"/>
      <c r="Q468" s="15"/>
      <c r="R468" s="15"/>
      <c r="S468" s="15"/>
      <c r="T468" s="15"/>
      <c r="U468" s="15"/>
      <c r="V468" s="15"/>
    </row>
    <row r="469" spans="1:22" ht="12.75" customHeight="1" x14ac:dyDescent="0.2">
      <c r="A469" s="12">
        <v>68</v>
      </c>
      <c r="B469" s="22" t="s">
        <v>445</v>
      </c>
      <c r="C469" s="15">
        <v>4099.8999999999996</v>
      </c>
      <c r="D469" s="15">
        <f t="shared" ref="D469:D504" si="80">F469+G469+H469+I469+J469+K469+M469+O469+Q469+S469+U469+V469</f>
        <v>8360000</v>
      </c>
      <c r="E469" s="15">
        <f t="shared" ref="E469:E504" si="81">D469</f>
        <v>8360000</v>
      </c>
      <c r="F469" s="15"/>
      <c r="G469" s="15"/>
      <c r="H469" s="15"/>
      <c r="I469" s="15"/>
      <c r="J469" s="15"/>
      <c r="K469" s="15"/>
      <c r="L469" s="16"/>
      <c r="M469" s="15"/>
      <c r="N469" s="15">
        <v>1170</v>
      </c>
      <c r="O469" s="15">
        <v>4000000</v>
      </c>
      <c r="P469" s="15"/>
      <c r="Q469" s="15"/>
      <c r="R469" s="15">
        <v>4100</v>
      </c>
      <c r="S469" s="15">
        <f>4000000-87000</f>
        <v>3913000</v>
      </c>
      <c r="T469" s="15"/>
      <c r="U469" s="15"/>
      <c r="V469" s="15">
        <v>447000</v>
      </c>
    </row>
    <row r="470" spans="1:22" ht="12.75" customHeight="1" x14ac:dyDescent="0.2">
      <c r="A470" s="12">
        <v>69</v>
      </c>
      <c r="B470" s="22" t="s">
        <v>273</v>
      </c>
      <c r="C470" s="15">
        <v>7182</v>
      </c>
      <c r="D470" s="15">
        <f t="shared" si="80"/>
        <v>2180000</v>
      </c>
      <c r="E470" s="15">
        <f t="shared" si="81"/>
        <v>2180000</v>
      </c>
      <c r="F470" s="15"/>
      <c r="G470" s="15"/>
      <c r="H470" s="15"/>
      <c r="I470" s="15"/>
      <c r="J470" s="15"/>
      <c r="K470" s="15"/>
      <c r="L470" s="16"/>
      <c r="M470" s="15"/>
      <c r="N470" s="15"/>
      <c r="O470" s="15"/>
      <c r="P470" s="15"/>
      <c r="Q470" s="15"/>
      <c r="R470" s="15">
        <v>2400</v>
      </c>
      <c r="S470" s="15">
        <v>2000000</v>
      </c>
      <c r="T470" s="15"/>
      <c r="U470" s="15"/>
      <c r="V470" s="15">
        <v>180000</v>
      </c>
    </row>
    <row r="471" spans="1:22" ht="12.75" customHeight="1" x14ac:dyDescent="0.2">
      <c r="A471" s="12">
        <v>70</v>
      </c>
      <c r="B471" s="22" t="s">
        <v>276</v>
      </c>
      <c r="C471" s="15">
        <v>5958</v>
      </c>
      <c r="D471" s="15">
        <f t="shared" si="80"/>
        <v>4360000</v>
      </c>
      <c r="E471" s="15">
        <f t="shared" si="81"/>
        <v>4360000</v>
      </c>
      <c r="F471" s="15"/>
      <c r="G471" s="15"/>
      <c r="H471" s="15"/>
      <c r="I471" s="15"/>
      <c r="J471" s="15"/>
      <c r="K471" s="15"/>
      <c r="L471" s="16"/>
      <c r="M471" s="15"/>
      <c r="N471" s="15"/>
      <c r="O471" s="15"/>
      <c r="P471" s="15"/>
      <c r="Q471" s="15"/>
      <c r="R471" s="15">
        <v>4100</v>
      </c>
      <c r="S471" s="15">
        <v>4000000</v>
      </c>
      <c r="T471" s="15"/>
      <c r="U471" s="15"/>
      <c r="V471" s="15">
        <v>360000</v>
      </c>
    </row>
    <row r="472" spans="1:22" ht="12.75" customHeight="1" x14ac:dyDescent="0.2">
      <c r="A472" s="12">
        <v>71</v>
      </c>
      <c r="B472" s="22" t="s">
        <v>277</v>
      </c>
      <c r="C472" s="15">
        <v>5980</v>
      </c>
      <c r="D472" s="15">
        <f t="shared" si="80"/>
        <v>4360000</v>
      </c>
      <c r="E472" s="15">
        <f t="shared" si="81"/>
        <v>4360000</v>
      </c>
      <c r="F472" s="15"/>
      <c r="G472" s="15"/>
      <c r="H472" s="15"/>
      <c r="I472" s="15"/>
      <c r="J472" s="15"/>
      <c r="K472" s="15"/>
      <c r="L472" s="16"/>
      <c r="M472" s="15"/>
      <c r="N472" s="15">
        <v>2103</v>
      </c>
      <c r="O472" s="15">
        <v>4000000</v>
      </c>
      <c r="P472" s="15"/>
      <c r="Q472" s="15"/>
      <c r="R472" s="15"/>
      <c r="S472" s="15"/>
      <c r="T472" s="15"/>
      <c r="U472" s="15"/>
      <c r="V472" s="15">
        <v>360000</v>
      </c>
    </row>
    <row r="473" spans="1:22" ht="12.75" customHeight="1" x14ac:dyDescent="0.2">
      <c r="A473" s="12">
        <v>72</v>
      </c>
      <c r="B473" s="22" t="s">
        <v>274</v>
      </c>
      <c r="C473" s="15">
        <v>5090</v>
      </c>
      <c r="D473" s="15">
        <f t="shared" si="80"/>
        <v>2180000</v>
      </c>
      <c r="E473" s="15">
        <f t="shared" si="81"/>
        <v>2180000</v>
      </c>
      <c r="F473" s="15"/>
      <c r="G473" s="15"/>
      <c r="H473" s="15"/>
      <c r="I473" s="15"/>
      <c r="J473" s="15"/>
      <c r="K473" s="15"/>
      <c r="L473" s="16"/>
      <c r="M473" s="15"/>
      <c r="N473" s="15"/>
      <c r="O473" s="15"/>
      <c r="P473" s="15"/>
      <c r="Q473" s="15"/>
      <c r="R473" s="15">
        <v>2400</v>
      </c>
      <c r="S473" s="15">
        <v>2000000</v>
      </c>
      <c r="T473" s="15"/>
      <c r="U473" s="15"/>
      <c r="V473" s="15">
        <v>180000</v>
      </c>
    </row>
    <row r="474" spans="1:22" ht="12.75" customHeight="1" x14ac:dyDescent="0.2">
      <c r="A474" s="12">
        <v>73</v>
      </c>
      <c r="B474" s="22" t="s">
        <v>275</v>
      </c>
      <c r="C474" s="15">
        <v>5994</v>
      </c>
      <c r="D474" s="15">
        <f t="shared" si="80"/>
        <v>4360000</v>
      </c>
      <c r="E474" s="15">
        <f t="shared" si="81"/>
        <v>4360000</v>
      </c>
      <c r="F474" s="15"/>
      <c r="G474" s="15"/>
      <c r="H474" s="15"/>
      <c r="I474" s="15"/>
      <c r="J474" s="15"/>
      <c r="K474" s="15"/>
      <c r="L474" s="16"/>
      <c r="M474" s="15"/>
      <c r="N474" s="15"/>
      <c r="O474" s="15"/>
      <c r="P474" s="15"/>
      <c r="Q474" s="15"/>
      <c r="R474" s="15">
        <v>4100</v>
      </c>
      <c r="S474" s="15">
        <v>4000000</v>
      </c>
      <c r="T474" s="15"/>
      <c r="U474" s="15"/>
      <c r="V474" s="15">
        <v>360000</v>
      </c>
    </row>
    <row r="475" spans="1:22" ht="12.75" customHeight="1" x14ac:dyDescent="0.2">
      <c r="A475" s="12">
        <v>74</v>
      </c>
      <c r="B475" s="22" t="s">
        <v>278</v>
      </c>
      <c r="C475" s="15">
        <v>3039.99</v>
      </c>
      <c r="D475" s="15">
        <f t="shared" si="80"/>
        <v>2180000</v>
      </c>
      <c r="E475" s="15">
        <f t="shared" si="81"/>
        <v>2180000</v>
      </c>
      <c r="F475" s="15"/>
      <c r="G475" s="15"/>
      <c r="H475" s="15"/>
      <c r="I475" s="15"/>
      <c r="J475" s="15"/>
      <c r="K475" s="15"/>
      <c r="L475" s="16"/>
      <c r="M475" s="15"/>
      <c r="N475" s="15"/>
      <c r="O475" s="15"/>
      <c r="P475" s="15"/>
      <c r="Q475" s="15"/>
      <c r="R475" s="15">
        <v>1600</v>
      </c>
      <c r="S475" s="15">
        <v>2000000</v>
      </c>
      <c r="T475" s="15"/>
      <c r="U475" s="15"/>
      <c r="V475" s="15">
        <v>180000</v>
      </c>
    </row>
    <row r="476" spans="1:22" ht="12.75" customHeight="1" x14ac:dyDescent="0.2">
      <c r="A476" s="12">
        <v>75</v>
      </c>
      <c r="B476" s="22" t="s">
        <v>279</v>
      </c>
      <c r="C476" s="15">
        <v>3019.04</v>
      </c>
      <c r="D476" s="15">
        <f t="shared" si="80"/>
        <v>2180000</v>
      </c>
      <c r="E476" s="15">
        <f t="shared" si="81"/>
        <v>2180000</v>
      </c>
      <c r="F476" s="15"/>
      <c r="G476" s="15"/>
      <c r="H476" s="15"/>
      <c r="I476" s="15"/>
      <c r="J476" s="15"/>
      <c r="K476" s="15"/>
      <c r="L476" s="16"/>
      <c r="M476" s="15"/>
      <c r="N476" s="15"/>
      <c r="O476" s="15"/>
      <c r="P476" s="15"/>
      <c r="Q476" s="15"/>
      <c r="R476" s="15">
        <v>1600</v>
      </c>
      <c r="S476" s="15">
        <v>2000000</v>
      </c>
      <c r="T476" s="15"/>
      <c r="U476" s="15"/>
      <c r="V476" s="15">
        <v>180000</v>
      </c>
    </row>
    <row r="477" spans="1:22" ht="12.75" customHeight="1" x14ac:dyDescent="0.2">
      <c r="A477" s="12">
        <v>76</v>
      </c>
      <c r="B477" s="22" t="s">
        <v>280</v>
      </c>
      <c r="C477" s="15">
        <v>3000.32</v>
      </c>
      <c r="D477" s="15">
        <f t="shared" si="80"/>
        <v>2180000</v>
      </c>
      <c r="E477" s="15">
        <f t="shared" si="81"/>
        <v>2180000</v>
      </c>
      <c r="F477" s="15">
        <v>1000000</v>
      </c>
      <c r="G477" s="15"/>
      <c r="H477" s="15"/>
      <c r="I477" s="15"/>
      <c r="J477" s="15"/>
      <c r="K477" s="15"/>
      <c r="L477" s="16"/>
      <c r="M477" s="15"/>
      <c r="N477" s="15"/>
      <c r="O477" s="15"/>
      <c r="P477" s="15">
        <v>677</v>
      </c>
      <c r="Q477" s="15">
        <v>1000000</v>
      </c>
      <c r="R477" s="15"/>
      <c r="S477" s="15"/>
      <c r="T477" s="15"/>
      <c r="U477" s="15"/>
      <c r="V477" s="15">
        <v>180000</v>
      </c>
    </row>
    <row r="478" spans="1:22" ht="12.75" customHeight="1" x14ac:dyDescent="0.2">
      <c r="A478" s="12">
        <v>77</v>
      </c>
      <c r="B478" s="22" t="s">
        <v>281</v>
      </c>
      <c r="C478" s="15">
        <v>2965</v>
      </c>
      <c r="D478" s="15">
        <f t="shared" si="80"/>
        <v>2180000</v>
      </c>
      <c r="E478" s="15">
        <f t="shared" si="81"/>
        <v>2180000</v>
      </c>
      <c r="F478" s="15"/>
      <c r="G478" s="15"/>
      <c r="H478" s="15"/>
      <c r="I478" s="15"/>
      <c r="J478" s="15"/>
      <c r="K478" s="15"/>
      <c r="L478" s="16"/>
      <c r="M478" s="15"/>
      <c r="N478" s="15"/>
      <c r="O478" s="15"/>
      <c r="P478" s="15"/>
      <c r="Q478" s="15"/>
      <c r="R478" s="15">
        <v>1500</v>
      </c>
      <c r="S478" s="15">
        <v>2000000</v>
      </c>
      <c r="T478" s="15"/>
      <c r="U478" s="15"/>
      <c r="V478" s="15">
        <v>180000</v>
      </c>
    </row>
    <row r="479" spans="1:22" ht="12.75" customHeight="1" x14ac:dyDescent="0.2">
      <c r="A479" s="12">
        <v>78</v>
      </c>
      <c r="B479" s="22" t="s">
        <v>282</v>
      </c>
      <c r="C479" s="15">
        <v>3022.98</v>
      </c>
      <c r="D479" s="15">
        <f t="shared" si="80"/>
        <v>2140000</v>
      </c>
      <c r="E479" s="15">
        <f t="shared" si="81"/>
        <v>2140000</v>
      </c>
      <c r="F479" s="15"/>
      <c r="G479" s="15"/>
      <c r="H479" s="15"/>
      <c r="I479" s="15"/>
      <c r="J479" s="15"/>
      <c r="K479" s="15"/>
      <c r="L479" s="16"/>
      <c r="M479" s="15"/>
      <c r="N479" s="15"/>
      <c r="O479" s="15"/>
      <c r="P479" s="15"/>
      <c r="Q479" s="15"/>
      <c r="R479" s="15">
        <v>1500</v>
      </c>
      <c r="S479" s="15">
        <f>2000000-15000</f>
        <v>1985000</v>
      </c>
      <c r="T479" s="15"/>
      <c r="U479" s="15"/>
      <c r="V479" s="15">
        <v>155000</v>
      </c>
    </row>
    <row r="480" spans="1:22" ht="12.75" customHeight="1" x14ac:dyDescent="0.2">
      <c r="A480" s="12">
        <v>79</v>
      </c>
      <c r="B480" s="22" t="s">
        <v>283</v>
      </c>
      <c r="C480" s="15">
        <v>4058</v>
      </c>
      <c r="D480" s="15">
        <f t="shared" si="80"/>
        <v>3815000</v>
      </c>
      <c r="E480" s="15">
        <f t="shared" si="81"/>
        <v>3815000</v>
      </c>
      <c r="F480" s="15"/>
      <c r="G480" s="15"/>
      <c r="H480" s="15"/>
      <c r="I480" s="15"/>
      <c r="J480" s="15"/>
      <c r="K480" s="15"/>
      <c r="L480" s="16"/>
      <c r="M480" s="15"/>
      <c r="N480" s="15"/>
      <c r="O480" s="15"/>
      <c r="P480" s="15"/>
      <c r="Q480" s="15"/>
      <c r="R480" s="15">
        <v>3800</v>
      </c>
      <c r="S480" s="15">
        <v>3500000</v>
      </c>
      <c r="T480" s="15"/>
      <c r="U480" s="15"/>
      <c r="V480" s="15">
        <v>315000</v>
      </c>
    </row>
    <row r="481" spans="1:22" ht="12.75" customHeight="1" x14ac:dyDescent="0.2">
      <c r="A481" s="12">
        <v>80</v>
      </c>
      <c r="B481" s="22" t="s">
        <v>284</v>
      </c>
      <c r="C481" s="15">
        <v>4146.87</v>
      </c>
      <c r="D481" s="15">
        <f t="shared" si="80"/>
        <v>2725000</v>
      </c>
      <c r="E481" s="15">
        <f t="shared" si="81"/>
        <v>2725000</v>
      </c>
      <c r="F481" s="15"/>
      <c r="G481" s="15"/>
      <c r="H481" s="15"/>
      <c r="I481" s="15"/>
      <c r="J481" s="15"/>
      <c r="K481" s="15"/>
      <c r="L481" s="16"/>
      <c r="M481" s="15"/>
      <c r="N481" s="15"/>
      <c r="O481" s="15"/>
      <c r="P481" s="15"/>
      <c r="Q481" s="15"/>
      <c r="R481" s="15">
        <v>2900</v>
      </c>
      <c r="S481" s="15">
        <v>2500000</v>
      </c>
      <c r="T481" s="15"/>
      <c r="U481" s="15"/>
      <c r="V481" s="15">
        <v>225000.00000000003</v>
      </c>
    </row>
    <row r="482" spans="1:22" ht="12.75" customHeight="1" x14ac:dyDescent="0.2">
      <c r="A482" s="12">
        <v>81</v>
      </c>
      <c r="B482" s="22" t="s">
        <v>285</v>
      </c>
      <c r="C482" s="15">
        <v>6657.26</v>
      </c>
      <c r="D482" s="15">
        <f t="shared" si="80"/>
        <v>13080000</v>
      </c>
      <c r="E482" s="15">
        <f t="shared" si="81"/>
        <v>13080000</v>
      </c>
      <c r="F482" s="15"/>
      <c r="G482" s="15"/>
      <c r="H482" s="15"/>
      <c r="I482" s="15"/>
      <c r="J482" s="15"/>
      <c r="K482" s="15"/>
      <c r="L482" s="16"/>
      <c r="M482" s="15"/>
      <c r="N482" s="15">
        <v>1500</v>
      </c>
      <c r="O482" s="15">
        <v>8000000</v>
      </c>
      <c r="P482" s="15"/>
      <c r="Q482" s="15"/>
      <c r="R482" s="15">
        <v>4100</v>
      </c>
      <c r="S482" s="15">
        <v>4000000</v>
      </c>
      <c r="T482" s="15"/>
      <c r="U482" s="15"/>
      <c r="V482" s="15">
        <v>1080000</v>
      </c>
    </row>
    <row r="483" spans="1:22" ht="12.75" customHeight="1" x14ac:dyDescent="0.2">
      <c r="A483" s="12">
        <v>82</v>
      </c>
      <c r="B483" s="22" t="s">
        <v>286</v>
      </c>
      <c r="C483" s="15">
        <v>4646.6000000000004</v>
      </c>
      <c r="D483" s="15">
        <f t="shared" si="80"/>
        <v>2725000</v>
      </c>
      <c r="E483" s="15">
        <f t="shared" si="81"/>
        <v>2725000</v>
      </c>
      <c r="F483" s="15"/>
      <c r="G483" s="15"/>
      <c r="H483" s="15"/>
      <c r="I483" s="15"/>
      <c r="J483" s="15"/>
      <c r="K483" s="15"/>
      <c r="L483" s="16"/>
      <c r="M483" s="15"/>
      <c r="N483" s="15"/>
      <c r="O483" s="15"/>
      <c r="P483" s="15"/>
      <c r="Q483" s="15"/>
      <c r="R483" s="15">
        <v>3000</v>
      </c>
      <c r="S483" s="15">
        <v>2500000</v>
      </c>
      <c r="T483" s="15"/>
      <c r="U483" s="15"/>
      <c r="V483" s="15">
        <v>225000.00000000003</v>
      </c>
    </row>
    <row r="484" spans="1:22" ht="12.75" customHeight="1" x14ac:dyDescent="0.2">
      <c r="A484" s="12">
        <v>83</v>
      </c>
      <c r="B484" s="21" t="s">
        <v>173</v>
      </c>
      <c r="C484" s="11">
        <v>3650.1</v>
      </c>
      <c r="D484" s="15">
        <f t="shared" si="80"/>
        <v>15873700</v>
      </c>
      <c r="E484" s="15">
        <f t="shared" si="81"/>
        <v>15873700</v>
      </c>
      <c r="F484" s="15">
        <v>1200000</v>
      </c>
      <c r="G484" s="15"/>
      <c r="H484" s="15"/>
      <c r="I484" s="15"/>
      <c r="J484" s="15">
        <v>1500000</v>
      </c>
      <c r="K484" s="15">
        <v>1330000</v>
      </c>
      <c r="L484" s="16"/>
      <c r="M484" s="11"/>
      <c r="N484" s="15">
        <v>658</v>
      </c>
      <c r="O484" s="11">
        <v>5500000</v>
      </c>
      <c r="P484" s="15">
        <v>630</v>
      </c>
      <c r="Q484" s="15">
        <v>1000000</v>
      </c>
      <c r="R484" s="15">
        <v>3770</v>
      </c>
      <c r="S484" s="15">
        <v>4000000</v>
      </c>
      <c r="T484" s="15"/>
      <c r="U484" s="15"/>
      <c r="V484" s="15">
        <v>1343700</v>
      </c>
    </row>
    <row r="485" spans="1:22" ht="12.75" customHeight="1" x14ac:dyDescent="0.2">
      <c r="A485" s="12">
        <v>84</v>
      </c>
      <c r="B485" s="22" t="s">
        <v>287</v>
      </c>
      <c r="C485" s="15">
        <v>4094.21</v>
      </c>
      <c r="D485" s="15">
        <f t="shared" si="80"/>
        <v>2725000</v>
      </c>
      <c r="E485" s="15">
        <f t="shared" si="81"/>
        <v>2725000</v>
      </c>
      <c r="F485" s="15"/>
      <c r="G485" s="15"/>
      <c r="H485" s="15"/>
      <c r="I485" s="15"/>
      <c r="J485" s="15"/>
      <c r="K485" s="15"/>
      <c r="L485" s="16"/>
      <c r="M485" s="15"/>
      <c r="N485" s="15"/>
      <c r="O485" s="15"/>
      <c r="P485" s="15"/>
      <c r="Q485" s="15"/>
      <c r="R485" s="15">
        <v>3000</v>
      </c>
      <c r="S485" s="15">
        <v>2500000</v>
      </c>
      <c r="T485" s="15"/>
      <c r="U485" s="15"/>
      <c r="V485" s="15">
        <v>225000.00000000003</v>
      </c>
    </row>
    <row r="486" spans="1:22" ht="12.75" customHeight="1" x14ac:dyDescent="0.2">
      <c r="A486" s="12">
        <v>85</v>
      </c>
      <c r="B486" s="22" t="s">
        <v>288</v>
      </c>
      <c r="C486" s="15">
        <v>4847.8100000000004</v>
      </c>
      <c r="D486" s="15">
        <f t="shared" si="80"/>
        <v>2725000</v>
      </c>
      <c r="E486" s="15">
        <f t="shared" si="81"/>
        <v>2725000</v>
      </c>
      <c r="F486" s="15"/>
      <c r="G486" s="15"/>
      <c r="H486" s="15"/>
      <c r="I486" s="15"/>
      <c r="J486" s="15"/>
      <c r="K486" s="15"/>
      <c r="L486" s="16"/>
      <c r="M486" s="15"/>
      <c r="N486" s="15"/>
      <c r="O486" s="15"/>
      <c r="P486" s="15">
        <v>710</v>
      </c>
      <c r="Q486" s="15">
        <v>2500000</v>
      </c>
      <c r="R486" s="15"/>
      <c r="S486" s="15"/>
      <c r="T486" s="15"/>
      <c r="U486" s="15"/>
      <c r="V486" s="15">
        <v>225000.00000000003</v>
      </c>
    </row>
    <row r="487" spans="1:22" ht="12.75" customHeight="1" x14ac:dyDescent="0.2">
      <c r="A487" s="12">
        <v>86</v>
      </c>
      <c r="B487" s="22" t="s">
        <v>289</v>
      </c>
      <c r="C487" s="15">
        <v>6427.99</v>
      </c>
      <c r="D487" s="15">
        <f t="shared" si="80"/>
        <v>3270000</v>
      </c>
      <c r="E487" s="15">
        <f t="shared" si="81"/>
        <v>3270000</v>
      </c>
      <c r="F487" s="15"/>
      <c r="G487" s="15"/>
      <c r="H487" s="15"/>
      <c r="I487" s="15"/>
      <c r="J487" s="15"/>
      <c r="K487" s="15"/>
      <c r="L487" s="16"/>
      <c r="M487" s="15"/>
      <c r="N487" s="15"/>
      <c r="O487" s="15"/>
      <c r="P487" s="15"/>
      <c r="Q487" s="15"/>
      <c r="R487" s="15">
        <v>4000</v>
      </c>
      <c r="S487" s="15">
        <v>3000000</v>
      </c>
      <c r="T487" s="15"/>
      <c r="U487" s="15"/>
      <c r="V487" s="15">
        <v>270000</v>
      </c>
    </row>
    <row r="488" spans="1:22" ht="12.75" customHeight="1" x14ac:dyDescent="0.2">
      <c r="A488" s="12">
        <v>87</v>
      </c>
      <c r="B488" s="22" t="s">
        <v>290</v>
      </c>
      <c r="C488" s="15">
        <v>4209.8999999999996</v>
      </c>
      <c r="D488" s="15">
        <f t="shared" si="80"/>
        <v>9810000</v>
      </c>
      <c r="E488" s="15">
        <f t="shared" si="81"/>
        <v>9810000</v>
      </c>
      <c r="F488" s="15"/>
      <c r="G488" s="15"/>
      <c r="H488" s="15"/>
      <c r="I488" s="15"/>
      <c r="J488" s="15"/>
      <c r="K488" s="15"/>
      <c r="L488" s="16"/>
      <c r="M488" s="15"/>
      <c r="N488" s="15">
        <v>624</v>
      </c>
      <c r="O488" s="15">
        <v>6500000</v>
      </c>
      <c r="P488" s="15"/>
      <c r="Q488" s="15"/>
      <c r="R488" s="15">
        <v>3000</v>
      </c>
      <c r="S488" s="15">
        <v>2500000</v>
      </c>
      <c r="T488" s="15"/>
      <c r="U488" s="15"/>
      <c r="V488" s="15">
        <v>810000.00000000012</v>
      </c>
    </row>
    <row r="489" spans="1:22" ht="12.75" customHeight="1" x14ac:dyDescent="0.2">
      <c r="A489" s="12">
        <v>88</v>
      </c>
      <c r="B489" s="22" t="s">
        <v>291</v>
      </c>
      <c r="C489" s="15">
        <v>4447.2</v>
      </c>
      <c r="D489" s="15">
        <f t="shared" si="80"/>
        <v>13255000</v>
      </c>
      <c r="E489" s="15">
        <f t="shared" si="81"/>
        <v>13255000</v>
      </c>
      <c r="F489" s="15"/>
      <c r="G489" s="15">
        <v>1500000</v>
      </c>
      <c r="H489" s="15"/>
      <c r="I489" s="15"/>
      <c r="J489" s="15">
        <v>1500000</v>
      </c>
      <c r="K489" s="15">
        <f>1000000+300000</f>
        <v>1300000</v>
      </c>
      <c r="L489" s="16"/>
      <c r="M489" s="15"/>
      <c r="N489" s="15"/>
      <c r="O489" s="15"/>
      <c r="P489" s="15">
        <v>534</v>
      </c>
      <c r="Q489" s="15">
        <v>2000000</v>
      </c>
      <c r="R489" s="15">
        <v>3600</v>
      </c>
      <c r="S489" s="15">
        <v>3000000</v>
      </c>
      <c r="T489" s="15">
        <v>300</v>
      </c>
      <c r="U489" s="15">
        <v>2500000</v>
      </c>
      <c r="V489" s="15">
        <v>1455000</v>
      </c>
    </row>
    <row r="490" spans="1:22" ht="12.75" customHeight="1" x14ac:dyDescent="0.2">
      <c r="A490" s="12">
        <v>89</v>
      </c>
      <c r="B490" s="22" t="s">
        <v>292</v>
      </c>
      <c r="C490" s="15">
        <v>6317.3</v>
      </c>
      <c r="D490" s="15">
        <f t="shared" si="80"/>
        <v>3000000</v>
      </c>
      <c r="E490" s="15">
        <f t="shared" si="81"/>
        <v>3000000</v>
      </c>
      <c r="F490" s="15"/>
      <c r="G490" s="15"/>
      <c r="H490" s="15"/>
      <c r="I490" s="15"/>
      <c r="J490" s="15"/>
      <c r="K490" s="15"/>
      <c r="L490" s="16"/>
      <c r="M490" s="15"/>
      <c r="N490" s="15"/>
      <c r="O490" s="15"/>
      <c r="P490" s="15"/>
      <c r="Q490" s="15"/>
      <c r="R490" s="15">
        <v>4000</v>
      </c>
      <c r="S490" s="15">
        <v>2730000</v>
      </c>
      <c r="T490" s="15"/>
      <c r="U490" s="15"/>
      <c r="V490" s="15">
        <v>270000</v>
      </c>
    </row>
    <row r="491" spans="1:22" ht="12.75" customHeight="1" x14ac:dyDescent="0.2">
      <c r="A491" s="12">
        <v>90</v>
      </c>
      <c r="B491" s="22" t="s">
        <v>293</v>
      </c>
      <c r="C491" s="15">
        <v>5614.3</v>
      </c>
      <c r="D491" s="15">
        <f t="shared" si="80"/>
        <v>3000000</v>
      </c>
      <c r="E491" s="15">
        <f t="shared" si="81"/>
        <v>3000000</v>
      </c>
      <c r="F491" s="15"/>
      <c r="G491" s="15"/>
      <c r="H491" s="15"/>
      <c r="I491" s="15"/>
      <c r="J491" s="15"/>
      <c r="K491" s="15"/>
      <c r="L491" s="16"/>
      <c r="M491" s="15"/>
      <c r="N491" s="15"/>
      <c r="O491" s="15"/>
      <c r="P491" s="15"/>
      <c r="Q491" s="15"/>
      <c r="R491" s="15">
        <v>4000</v>
      </c>
      <c r="S491" s="15">
        <v>2730000</v>
      </c>
      <c r="T491" s="15"/>
      <c r="U491" s="15"/>
      <c r="V491" s="15">
        <v>270000</v>
      </c>
    </row>
    <row r="492" spans="1:22" ht="12.75" customHeight="1" x14ac:dyDescent="0.2">
      <c r="A492" s="12">
        <v>91</v>
      </c>
      <c r="B492" s="22" t="s">
        <v>294</v>
      </c>
      <c r="C492" s="15">
        <v>3010.6</v>
      </c>
      <c r="D492" s="15">
        <f t="shared" si="80"/>
        <v>7630000</v>
      </c>
      <c r="E492" s="15">
        <f t="shared" si="81"/>
        <v>7630000</v>
      </c>
      <c r="F492" s="15"/>
      <c r="G492" s="15"/>
      <c r="H492" s="15"/>
      <c r="I492" s="15"/>
      <c r="J492" s="15"/>
      <c r="K492" s="15"/>
      <c r="L492" s="16"/>
      <c r="M492" s="15"/>
      <c r="N492" s="15">
        <v>762</v>
      </c>
      <c r="O492" s="15">
        <v>5000000</v>
      </c>
      <c r="P492" s="15"/>
      <c r="Q492" s="15"/>
      <c r="R492" s="15">
        <v>2000</v>
      </c>
      <c r="S492" s="15">
        <v>2000000</v>
      </c>
      <c r="T492" s="15"/>
      <c r="U492" s="15"/>
      <c r="V492" s="15">
        <v>630000</v>
      </c>
    </row>
    <row r="493" spans="1:22" ht="12.75" customHeight="1" x14ac:dyDescent="0.2">
      <c r="A493" s="12">
        <v>92</v>
      </c>
      <c r="B493" s="22" t="s">
        <v>295</v>
      </c>
      <c r="C493" s="15">
        <v>3276.77</v>
      </c>
      <c r="D493" s="15">
        <f t="shared" si="80"/>
        <v>6540000</v>
      </c>
      <c r="E493" s="15">
        <f t="shared" si="81"/>
        <v>6540000</v>
      </c>
      <c r="F493" s="15"/>
      <c r="G493" s="15"/>
      <c r="H493" s="15"/>
      <c r="I493" s="15"/>
      <c r="J493" s="15"/>
      <c r="K493" s="15"/>
      <c r="L493" s="16"/>
      <c r="M493" s="15"/>
      <c r="N493" s="15">
        <v>698.25</v>
      </c>
      <c r="O493" s="15">
        <v>4500000</v>
      </c>
      <c r="P493" s="15"/>
      <c r="Q493" s="15"/>
      <c r="R493" s="15">
        <v>1100</v>
      </c>
      <c r="S493" s="15">
        <v>1500000</v>
      </c>
      <c r="T493" s="15"/>
      <c r="U493" s="15"/>
      <c r="V493" s="15">
        <v>540000</v>
      </c>
    </row>
    <row r="494" spans="1:22" ht="12.75" customHeight="1" x14ac:dyDescent="0.2">
      <c r="A494" s="12">
        <v>93</v>
      </c>
      <c r="B494" s="22" t="s">
        <v>296</v>
      </c>
      <c r="C494" s="15">
        <v>3276.77</v>
      </c>
      <c r="D494" s="15">
        <f t="shared" si="80"/>
        <v>6540000</v>
      </c>
      <c r="E494" s="15">
        <f t="shared" si="81"/>
        <v>6540000</v>
      </c>
      <c r="F494" s="15"/>
      <c r="G494" s="15"/>
      <c r="H494" s="15"/>
      <c r="I494" s="15"/>
      <c r="J494" s="15"/>
      <c r="K494" s="15"/>
      <c r="L494" s="16"/>
      <c r="M494" s="15"/>
      <c r="N494" s="15">
        <v>698.25</v>
      </c>
      <c r="O494" s="15">
        <v>4500000</v>
      </c>
      <c r="P494" s="15"/>
      <c r="Q494" s="15"/>
      <c r="R494" s="15">
        <v>1100</v>
      </c>
      <c r="S494" s="15">
        <v>1500000</v>
      </c>
      <c r="T494" s="15"/>
      <c r="U494" s="15"/>
      <c r="V494" s="15">
        <v>540000</v>
      </c>
    </row>
    <row r="495" spans="1:22" ht="12.75" customHeight="1" x14ac:dyDescent="0.2">
      <c r="A495" s="12">
        <v>94</v>
      </c>
      <c r="B495" s="22" t="s">
        <v>423</v>
      </c>
      <c r="C495" s="15">
        <v>740.9</v>
      </c>
      <c r="D495" s="15">
        <f t="shared" si="80"/>
        <v>8786119</v>
      </c>
      <c r="E495" s="15">
        <f t="shared" si="81"/>
        <v>8786119</v>
      </c>
      <c r="F495" s="15"/>
      <c r="G495" s="15"/>
      <c r="H495" s="15"/>
      <c r="I495" s="15"/>
      <c r="J495" s="15">
        <v>1500000</v>
      </c>
      <c r="K495" s="15">
        <v>1000000</v>
      </c>
      <c r="L495" s="16"/>
      <c r="M495" s="15"/>
      <c r="N495" s="15">
        <v>693</v>
      </c>
      <c r="O495" s="15">
        <v>3560000</v>
      </c>
      <c r="P495" s="15"/>
      <c r="Q495" s="15"/>
      <c r="R495" s="15">
        <v>900</v>
      </c>
      <c r="S495" s="15">
        <v>2000660</v>
      </c>
      <c r="T495" s="15"/>
      <c r="U495" s="15"/>
      <c r="V495" s="15">
        <v>725459</v>
      </c>
    </row>
    <row r="496" spans="1:22" ht="12.75" customHeight="1" x14ac:dyDescent="0.2">
      <c r="A496" s="12">
        <v>95</v>
      </c>
      <c r="B496" s="32" t="s">
        <v>325</v>
      </c>
      <c r="C496" s="15">
        <v>1134.5899999999999</v>
      </c>
      <c r="D496" s="15">
        <f t="shared" si="80"/>
        <v>3815000</v>
      </c>
      <c r="E496" s="15">
        <f t="shared" si="81"/>
        <v>3815000</v>
      </c>
      <c r="F496" s="15"/>
      <c r="G496" s="15"/>
      <c r="H496" s="15"/>
      <c r="I496" s="15"/>
      <c r="J496" s="15"/>
      <c r="K496" s="15"/>
      <c r="L496" s="16"/>
      <c r="M496" s="15"/>
      <c r="N496" s="15">
        <v>901.7</v>
      </c>
      <c r="O496" s="15">
        <v>3500000</v>
      </c>
      <c r="P496" s="15"/>
      <c r="Q496" s="15"/>
      <c r="R496" s="15"/>
      <c r="S496" s="15"/>
      <c r="T496" s="15"/>
      <c r="U496" s="15"/>
      <c r="V496" s="15">
        <v>315000</v>
      </c>
    </row>
    <row r="497" spans="1:22" ht="12.75" customHeight="1" x14ac:dyDescent="0.2">
      <c r="A497" s="12">
        <v>96</v>
      </c>
      <c r="B497" s="22" t="s">
        <v>297</v>
      </c>
      <c r="C497" s="15">
        <v>4523.1499999999996</v>
      </c>
      <c r="D497" s="15">
        <f t="shared" si="80"/>
        <v>10900000</v>
      </c>
      <c r="E497" s="15">
        <f t="shared" si="81"/>
        <v>10900000</v>
      </c>
      <c r="F497" s="15"/>
      <c r="G497" s="15"/>
      <c r="H497" s="15"/>
      <c r="I497" s="15"/>
      <c r="J497" s="15"/>
      <c r="K497" s="15"/>
      <c r="L497" s="16"/>
      <c r="M497" s="15"/>
      <c r="N497" s="15">
        <v>1124</v>
      </c>
      <c r="O497" s="15">
        <v>10000000</v>
      </c>
      <c r="P497" s="15"/>
      <c r="Q497" s="15"/>
      <c r="R497" s="15"/>
      <c r="S497" s="15"/>
      <c r="T497" s="15"/>
      <c r="U497" s="15"/>
      <c r="V497" s="15">
        <v>900000.00000000012</v>
      </c>
    </row>
    <row r="498" spans="1:22" ht="12.75" customHeight="1" x14ac:dyDescent="0.2">
      <c r="A498" s="12">
        <v>97</v>
      </c>
      <c r="B498" s="22" t="s">
        <v>298</v>
      </c>
      <c r="C498" s="15">
        <v>4564.22</v>
      </c>
      <c r="D498" s="15">
        <f t="shared" si="80"/>
        <v>2180000</v>
      </c>
      <c r="E498" s="15">
        <f t="shared" si="81"/>
        <v>2180000</v>
      </c>
      <c r="F498" s="15"/>
      <c r="G498" s="15"/>
      <c r="H498" s="15"/>
      <c r="I498" s="15"/>
      <c r="J498" s="15"/>
      <c r="K498" s="15"/>
      <c r="L498" s="16"/>
      <c r="M498" s="15"/>
      <c r="N498" s="15"/>
      <c r="O498" s="15"/>
      <c r="P498" s="15"/>
      <c r="Q498" s="15"/>
      <c r="R498" s="15">
        <v>2300</v>
      </c>
      <c r="S498" s="15">
        <v>2000000</v>
      </c>
      <c r="T498" s="15"/>
      <c r="U498" s="15"/>
      <c r="V498" s="15">
        <v>180000</v>
      </c>
    </row>
    <row r="499" spans="1:22" x14ac:dyDescent="0.2">
      <c r="A499" s="12">
        <v>98</v>
      </c>
      <c r="B499" s="21" t="s">
        <v>112</v>
      </c>
      <c r="C499" s="11">
        <v>3419.19</v>
      </c>
      <c r="D499" s="15">
        <f t="shared" si="80"/>
        <v>1444200</v>
      </c>
      <c r="E499" s="15">
        <f t="shared" si="81"/>
        <v>1444200</v>
      </c>
      <c r="F499" s="15">
        <v>1300000</v>
      </c>
      <c r="G499" s="15"/>
      <c r="H499" s="15"/>
      <c r="I499" s="15"/>
      <c r="J499" s="15"/>
      <c r="K499" s="15"/>
      <c r="L499" s="16"/>
      <c r="M499" s="15"/>
      <c r="N499" s="15"/>
      <c r="O499" s="15"/>
      <c r="P499" s="15"/>
      <c r="Q499" s="15"/>
      <c r="R499" s="15"/>
      <c r="S499" s="15"/>
      <c r="T499" s="15"/>
      <c r="U499" s="15"/>
      <c r="V499" s="15">
        <v>144200</v>
      </c>
    </row>
    <row r="500" spans="1:22" ht="12.75" customHeight="1" x14ac:dyDescent="0.2">
      <c r="A500" s="12">
        <v>99</v>
      </c>
      <c r="B500" s="22" t="s">
        <v>299</v>
      </c>
      <c r="C500" s="15">
        <v>5014.78</v>
      </c>
      <c r="D500" s="15">
        <f t="shared" si="80"/>
        <v>2180000</v>
      </c>
      <c r="E500" s="15">
        <f t="shared" si="81"/>
        <v>2180000</v>
      </c>
      <c r="F500" s="15"/>
      <c r="G500" s="15"/>
      <c r="H500" s="15"/>
      <c r="I500" s="15"/>
      <c r="J500" s="15"/>
      <c r="K500" s="15"/>
      <c r="L500" s="16"/>
      <c r="M500" s="15"/>
      <c r="N500" s="15"/>
      <c r="O500" s="15"/>
      <c r="P500" s="15"/>
      <c r="Q500" s="15"/>
      <c r="R500" s="15">
        <v>2300</v>
      </c>
      <c r="S500" s="15">
        <v>2000000</v>
      </c>
      <c r="T500" s="15"/>
      <c r="U500" s="15"/>
      <c r="V500" s="15">
        <v>180000</v>
      </c>
    </row>
    <row r="501" spans="1:22" ht="12.75" customHeight="1" x14ac:dyDescent="0.2">
      <c r="A501" s="12">
        <v>100</v>
      </c>
      <c r="B501" s="22" t="s">
        <v>300</v>
      </c>
      <c r="C501" s="15">
        <v>4756.3</v>
      </c>
      <c r="D501" s="15">
        <f t="shared" si="80"/>
        <v>2180000</v>
      </c>
      <c r="E501" s="15">
        <f t="shared" si="81"/>
        <v>2180000</v>
      </c>
      <c r="F501" s="15"/>
      <c r="G501" s="15"/>
      <c r="H501" s="15"/>
      <c r="I501" s="15"/>
      <c r="J501" s="15"/>
      <c r="K501" s="15"/>
      <c r="L501" s="16"/>
      <c r="M501" s="15"/>
      <c r="N501" s="15"/>
      <c r="O501" s="15"/>
      <c r="P501" s="15"/>
      <c r="Q501" s="15"/>
      <c r="R501" s="15">
        <v>2300</v>
      </c>
      <c r="S501" s="15">
        <v>2000000</v>
      </c>
      <c r="T501" s="15"/>
      <c r="U501" s="15"/>
      <c r="V501" s="15">
        <v>180000</v>
      </c>
    </row>
    <row r="502" spans="1:22" ht="12.75" customHeight="1" x14ac:dyDescent="0.2">
      <c r="A502" s="12">
        <v>101</v>
      </c>
      <c r="B502" s="22" t="s">
        <v>301</v>
      </c>
      <c r="C502" s="15">
        <v>3739.9</v>
      </c>
      <c r="D502" s="15">
        <f t="shared" si="80"/>
        <v>21800000</v>
      </c>
      <c r="E502" s="15">
        <f t="shared" si="81"/>
        <v>21800000</v>
      </c>
      <c r="F502" s="15"/>
      <c r="G502" s="15"/>
      <c r="H502" s="15"/>
      <c r="I502" s="15"/>
      <c r="J502" s="15"/>
      <c r="K502" s="15"/>
      <c r="L502" s="16"/>
      <c r="M502" s="15"/>
      <c r="N502" s="15">
        <v>759</v>
      </c>
      <c r="O502" s="15">
        <v>1500000</v>
      </c>
      <c r="P502" s="15"/>
      <c r="Q502" s="15"/>
      <c r="R502" s="15">
        <v>2110</v>
      </c>
      <c r="S502" s="15">
        <v>18500000</v>
      </c>
      <c r="T502" s="15"/>
      <c r="U502" s="15"/>
      <c r="V502" s="15">
        <v>1800000.0000000002</v>
      </c>
    </row>
    <row r="503" spans="1:22" ht="12.75" customHeight="1" x14ac:dyDescent="0.2">
      <c r="A503" s="12">
        <v>102</v>
      </c>
      <c r="B503" s="22" t="s">
        <v>302</v>
      </c>
      <c r="C503" s="15">
        <v>4415.2</v>
      </c>
      <c r="D503" s="15">
        <f t="shared" si="80"/>
        <v>27250000</v>
      </c>
      <c r="E503" s="15">
        <f t="shared" si="81"/>
        <v>27250000</v>
      </c>
      <c r="F503" s="15"/>
      <c r="G503" s="15"/>
      <c r="H503" s="15"/>
      <c r="I503" s="15"/>
      <c r="J503" s="15"/>
      <c r="K503" s="15"/>
      <c r="L503" s="16"/>
      <c r="M503" s="15"/>
      <c r="N503" s="15">
        <v>651</v>
      </c>
      <c r="O503" s="15">
        <v>4000000</v>
      </c>
      <c r="P503" s="15"/>
      <c r="Q503" s="15"/>
      <c r="R503" s="15">
        <v>2800</v>
      </c>
      <c r="S503" s="15">
        <v>21000000</v>
      </c>
      <c r="T503" s="15"/>
      <c r="U503" s="15"/>
      <c r="V503" s="15">
        <v>2250000</v>
      </c>
    </row>
    <row r="504" spans="1:22" ht="12.75" customHeight="1" x14ac:dyDescent="0.2">
      <c r="A504" s="12">
        <v>103</v>
      </c>
      <c r="B504" s="21" t="s">
        <v>328</v>
      </c>
      <c r="C504" s="11">
        <v>547.79999999999995</v>
      </c>
      <c r="D504" s="15">
        <f t="shared" si="80"/>
        <v>7085055</v>
      </c>
      <c r="E504" s="15">
        <f t="shared" si="81"/>
        <v>7085055</v>
      </c>
      <c r="F504" s="11"/>
      <c r="G504" s="11"/>
      <c r="H504" s="11"/>
      <c r="I504" s="11"/>
      <c r="J504" s="11">
        <v>2500000</v>
      </c>
      <c r="K504" s="11">
        <v>1500000</v>
      </c>
      <c r="L504" s="13"/>
      <c r="M504" s="15"/>
      <c r="N504" s="15">
        <v>365</v>
      </c>
      <c r="O504" s="15">
        <v>2500050</v>
      </c>
      <c r="P504" s="11"/>
      <c r="Q504" s="15"/>
      <c r="R504" s="15"/>
      <c r="S504" s="15"/>
      <c r="T504" s="15"/>
      <c r="U504" s="15"/>
      <c r="V504" s="15">
        <v>585005</v>
      </c>
    </row>
    <row r="505" spans="1:22" ht="12.75" customHeight="1" x14ac:dyDescent="0.2">
      <c r="A505" s="19" t="s">
        <v>50</v>
      </c>
      <c r="B505" s="20"/>
      <c r="C505" s="17"/>
      <c r="D505" s="15"/>
      <c r="E505" s="15"/>
      <c r="F505" s="17"/>
      <c r="G505" s="17"/>
      <c r="H505" s="17"/>
      <c r="I505" s="17"/>
      <c r="J505" s="17"/>
      <c r="K505" s="17"/>
      <c r="L505" s="18"/>
      <c r="M505" s="17"/>
      <c r="N505" s="17"/>
      <c r="O505" s="17"/>
      <c r="P505" s="17"/>
      <c r="Q505" s="17"/>
      <c r="R505" s="17"/>
      <c r="S505" s="17"/>
      <c r="T505" s="17"/>
      <c r="U505" s="17"/>
      <c r="V505" s="15"/>
    </row>
    <row r="506" spans="1:22" ht="12.75" customHeight="1" x14ac:dyDescent="0.2">
      <c r="A506" s="19" t="s">
        <v>59</v>
      </c>
      <c r="B506" s="20"/>
      <c r="C506" s="17"/>
      <c r="D506" s="15"/>
      <c r="E506" s="15"/>
      <c r="F506" s="17"/>
      <c r="G506" s="17"/>
      <c r="H506" s="17"/>
      <c r="I506" s="17"/>
      <c r="J506" s="17"/>
      <c r="K506" s="17"/>
      <c r="L506" s="18"/>
      <c r="M506" s="15"/>
      <c r="N506" s="15"/>
      <c r="O506" s="15"/>
      <c r="P506" s="15"/>
      <c r="Q506" s="15"/>
      <c r="R506" s="15"/>
      <c r="S506" s="15"/>
      <c r="T506" s="15"/>
      <c r="U506" s="15"/>
      <c r="V506" s="15"/>
    </row>
    <row r="507" spans="1:22" ht="12.75" customHeight="1" x14ac:dyDescent="0.2">
      <c r="A507" s="12">
        <v>104</v>
      </c>
      <c r="B507" s="21" t="s">
        <v>424</v>
      </c>
      <c r="C507" s="11">
        <v>3094</v>
      </c>
      <c r="D507" s="15">
        <f t="shared" ref="D507:D511" si="82">F507+G507+H507+I507+J507+K507+M507+O507+Q507+S507+U507+V507</f>
        <v>52956200</v>
      </c>
      <c r="E507" s="15">
        <f>D507</f>
        <v>52956200</v>
      </c>
      <c r="F507" s="11">
        <v>3000000</v>
      </c>
      <c r="G507" s="11">
        <v>4800000</v>
      </c>
      <c r="H507" s="11"/>
      <c r="I507" s="15"/>
      <c r="J507" s="11">
        <v>5000000</v>
      </c>
      <c r="K507" s="11">
        <v>6000000</v>
      </c>
      <c r="L507" s="16"/>
      <c r="M507" s="15"/>
      <c r="N507" s="15">
        <v>911</v>
      </c>
      <c r="O507" s="15">
        <v>13927800</v>
      </c>
      <c r="P507" s="15">
        <v>284.5</v>
      </c>
      <c r="Q507" s="15">
        <v>1138000</v>
      </c>
      <c r="R507" s="15">
        <v>2565.6</v>
      </c>
      <c r="S507" s="15">
        <f>14816835-494000</f>
        <v>14322835</v>
      </c>
      <c r="T507" s="15"/>
      <c r="U507" s="15"/>
      <c r="V507" s="15">
        <v>4767565</v>
      </c>
    </row>
    <row r="508" spans="1:22" ht="12.75" customHeight="1" x14ac:dyDescent="0.2">
      <c r="A508" s="12">
        <v>105</v>
      </c>
      <c r="B508" s="21" t="s">
        <v>425</v>
      </c>
      <c r="C508" s="11">
        <v>3064.9</v>
      </c>
      <c r="D508" s="15">
        <f t="shared" si="82"/>
        <v>49759950</v>
      </c>
      <c r="E508" s="15">
        <f>D508</f>
        <v>49759950</v>
      </c>
      <c r="F508" s="11">
        <v>3000000</v>
      </c>
      <c r="G508" s="11">
        <v>4800000</v>
      </c>
      <c r="H508" s="11"/>
      <c r="I508" s="15"/>
      <c r="J508" s="11">
        <v>5000000</v>
      </c>
      <c r="K508" s="11">
        <v>6000000</v>
      </c>
      <c r="L508" s="16"/>
      <c r="M508" s="15"/>
      <c r="N508" s="15">
        <v>723</v>
      </c>
      <c r="O508" s="15">
        <v>11085400</v>
      </c>
      <c r="P508" s="15">
        <v>245.4</v>
      </c>
      <c r="Q508" s="15">
        <v>981600</v>
      </c>
      <c r="R508" s="15">
        <v>2432.5500000000002</v>
      </c>
      <c r="S508" s="15">
        <f>14877322-462000</f>
        <v>14415322</v>
      </c>
      <c r="T508" s="15"/>
      <c r="U508" s="15"/>
      <c r="V508" s="15">
        <v>4477628</v>
      </c>
    </row>
    <row r="509" spans="1:22" ht="12.75" customHeight="1" x14ac:dyDescent="0.2">
      <c r="A509" s="12">
        <v>106</v>
      </c>
      <c r="B509" s="21" t="s">
        <v>426</v>
      </c>
      <c r="C509" s="11">
        <v>3078.7</v>
      </c>
      <c r="D509" s="15">
        <f t="shared" si="82"/>
        <v>46785900</v>
      </c>
      <c r="E509" s="15">
        <f>D509</f>
        <v>46785900</v>
      </c>
      <c r="F509" s="11">
        <v>4000000</v>
      </c>
      <c r="G509" s="11">
        <v>4800000</v>
      </c>
      <c r="H509" s="11"/>
      <c r="I509" s="15"/>
      <c r="J509" s="11">
        <v>5000000</v>
      </c>
      <c r="K509" s="11">
        <v>6000000</v>
      </c>
      <c r="L509" s="16"/>
      <c r="M509" s="15"/>
      <c r="N509" s="15">
        <v>716</v>
      </c>
      <c r="O509" s="15">
        <v>7016800</v>
      </c>
      <c r="P509" s="15">
        <v>267.5</v>
      </c>
      <c r="Q509" s="15">
        <v>1070000</v>
      </c>
      <c r="R509" s="15">
        <v>2099.9</v>
      </c>
      <c r="S509" s="15">
        <f>15123484-435000</f>
        <v>14688484</v>
      </c>
      <c r="T509" s="15"/>
      <c r="U509" s="15"/>
      <c r="V509" s="15">
        <v>4210616</v>
      </c>
    </row>
    <row r="510" spans="1:22" ht="12.75" customHeight="1" x14ac:dyDescent="0.2">
      <c r="A510" s="12">
        <v>107</v>
      </c>
      <c r="B510" s="21" t="s">
        <v>427</v>
      </c>
      <c r="C510" s="11">
        <v>3352</v>
      </c>
      <c r="D510" s="15">
        <f t="shared" si="82"/>
        <v>51088700</v>
      </c>
      <c r="E510" s="15">
        <f>D510</f>
        <v>51088700</v>
      </c>
      <c r="F510" s="11">
        <v>3000000</v>
      </c>
      <c r="G510" s="11">
        <v>4800000</v>
      </c>
      <c r="H510" s="11"/>
      <c r="I510" s="15"/>
      <c r="J510" s="11">
        <v>5000000</v>
      </c>
      <c r="K510" s="11">
        <v>6000000</v>
      </c>
      <c r="L510" s="16"/>
      <c r="M510" s="15"/>
      <c r="N510" s="15">
        <v>739</v>
      </c>
      <c r="O510" s="15">
        <v>10242200</v>
      </c>
      <c r="P510" s="15">
        <v>345</v>
      </c>
      <c r="Q510" s="15">
        <v>1380000</v>
      </c>
      <c r="R510" s="15">
        <v>2518.5</v>
      </c>
      <c r="S510" s="15">
        <f>16543642-475000</f>
        <v>16068642</v>
      </c>
      <c r="T510" s="15"/>
      <c r="U510" s="15"/>
      <c r="V510" s="15">
        <v>4597858</v>
      </c>
    </row>
    <row r="511" spans="1:22" ht="12.75" customHeight="1" x14ac:dyDescent="0.2">
      <c r="A511" s="12">
        <v>108</v>
      </c>
      <c r="B511" s="21" t="s">
        <v>428</v>
      </c>
      <c r="C511" s="11">
        <v>3550.2</v>
      </c>
      <c r="D511" s="15">
        <f t="shared" si="82"/>
        <v>49665899.780000001</v>
      </c>
      <c r="E511" s="15">
        <f>D511</f>
        <v>49665899.780000001</v>
      </c>
      <c r="F511" s="11">
        <v>4000000</v>
      </c>
      <c r="G511" s="11">
        <v>5800000</v>
      </c>
      <c r="H511" s="11"/>
      <c r="I511" s="15"/>
      <c r="J511" s="11">
        <v>5000000</v>
      </c>
      <c r="K511" s="11">
        <v>5000000</v>
      </c>
      <c r="L511" s="16"/>
      <c r="M511" s="15"/>
      <c r="N511" s="15">
        <v>740</v>
      </c>
      <c r="O511" s="15">
        <f>7252000-0.22</f>
        <v>7251999.7800000003</v>
      </c>
      <c r="P511" s="15">
        <v>597.5</v>
      </c>
      <c r="Q511" s="15">
        <v>2390000</v>
      </c>
      <c r="R511" s="15">
        <v>2247.1</v>
      </c>
      <c r="S511" s="15">
        <f>16215862-461000</f>
        <v>15754862</v>
      </c>
      <c r="T511" s="15"/>
      <c r="U511" s="15"/>
      <c r="V511" s="15">
        <v>4469038</v>
      </c>
    </row>
    <row r="512" spans="1:22" ht="12.75" customHeight="1" x14ac:dyDescent="0.2">
      <c r="A512" s="43" t="s">
        <v>303</v>
      </c>
      <c r="B512" s="43"/>
      <c r="C512" s="17">
        <v>509336.30000000005</v>
      </c>
      <c r="D512" s="17">
        <f t="shared" ref="D512" si="83">SUM(D376:D511)</f>
        <v>2273839939.7800002</v>
      </c>
      <c r="E512" s="17">
        <f>F512+G512+H512+I512+J512+K512+M512+O512+Q512+S512+U512+V512</f>
        <v>2273839939.7799997</v>
      </c>
      <c r="F512" s="17">
        <f>SUM(F376:F511)</f>
        <v>122465985.87</v>
      </c>
      <c r="G512" s="17">
        <f t="shared" ref="G512:V512" si="84">SUM(G376:G511)</f>
        <v>246823770</v>
      </c>
      <c r="H512" s="17">
        <f t="shared" si="84"/>
        <v>0</v>
      </c>
      <c r="I512" s="17">
        <f t="shared" si="84"/>
        <v>0</v>
      </c>
      <c r="J512" s="17">
        <f t="shared" si="84"/>
        <v>189609987.77000001</v>
      </c>
      <c r="K512" s="17">
        <f t="shared" si="84"/>
        <v>156944051.44</v>
      </c>
      <c r="L512" s="29">
        <f t="shared" si="84"/>
        <v>5</v>
      </c>
      <c r="M512" s="17">
        <f t="shared" si="84"/>
        <v>23750000</v>
      </c>
      <c r="N512" s="17">
        <f t="shared" si="84"/>
        <v>75858.42</v>
      </c>
      <c r="O512" s="17">
        <f t="shared" si="84"/>
        <v>789795196.08999991</v>
      </c>
      <c r="P512" s="17">
        <f t="shared" si="84"/>
        <v>8351.7000000000007</v>
      </c>
      <c r="Q512" s="17">
        <f t="shared" si="84"/>
        <v>85285965.75</v>
      </c>
      <c r="R512" s="17">
        <f t="shared" si="84"/>
        <v>154211.46</v>
      </c>
      <c r="S512" s="17">
        <f t="shared" si="84"/>
        <v>494481301.86000001</v>
      </c>
      <c r="T512" s="17">
        <f t="shared" si="84"/>
        <v>2700</v>
      </c>
      <c r="U512" s="17">
        <f t="shared" si="84"/>
        <v>7880000</v>
      </c>
      <c r="V512" s="17">
        <f t="shared" si="84"/>
        <v>156803681</v>
      </c>
    </row>
    <row r="514" spans="6:6" x14ac:dyDescent="0.2">
      <c r="F514" s="36"/>
    </row>
  </sheetData>
  <autoFilter ref="A8:V512"/>
  <sortState ref="B70:V116">
    <sortCondition ref="B70:B116"/>
  </sortState>
  <mergeCells count="20">
    <mergeCell ref="A512:B512"/>
    <mergeCell ref="A10:V10"/>
    <mergeCell ref="A9:B9"/>
    <mergeCell ref="E5:E6"/>
    <mergeCell ref="A374:V374"/>
    <mergeCell ref="A286:V286"/>
    <mergeCell ref="V5:V6"/>
    <mergeCell ref="A4:A7"/>
    <mergeCell ref="B4:B7"/>
    <mergeCell ref="D4:D6"/>
    <mergeCell ref="F4:V4"/>
    <mergeCell ref="F5:K5"/>
    <mergeCell ref="L5:M6"/>
    <mergeCell ref="N5:O6"/>
    <mergeCell ref="P5:Q6"/>
    <mergeCell ref="R5:S6"/>
    <mergeCell ref="T5:U6"/>
    <mergeCell ref="A2:V2"/>
    <mergeCell ref="A3:V3"/>
    <mergeCell ref="P1:V1"/>
  </mergeCells>
  <phoneticPr fontId="5" type="noConversion"/>
  <pageMargins left="0.31496062992125984" right="0.31496062992125984" top="1.1811023622047245" bottom="0.35433070866141736" header="0.98425196850393704" footer="0"/>
  <pageSetup paperSize="9" scale="46" fitToHeight="0" orientation="landscape" r:id="rId1"/>
  <headerFooter differentFirst="1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Ильченко</dc:creator>
  <cp:lastModifiedBy>Федосеенко Татьяна Викторовна</cp:lastModifiedBy>
  <cp:lastPrinted>2024-10-07T09:16:10Z</cp:lastPrinted>
  <dcterms:created xsi:type="dcterms:W3CDTF">2015-06-05T18:19:34Z</dcterms:created>
  <dcterms:modified xsi:type="dcterms:W3CDTF">2024-10-08T07:19:30Z</dcterms:modified>
</cp:coreProperties>
</file>